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85" windowWidth="20730" windowHeight="10875" activeTab="2"/>
  </bookViews>
  <sheets>
    <sheet name="Final" sheetId="1" r:id="rId1"/>
    <sheet name="Changes" sheetId="3" r:id="rId2"/>
    <sheet name="Historical Data" sheetId="4" r:id="rId3"/>
  </sheets>
  <definedNames>
    <definedName name="_xlnm.Print_Titles" localSheetId="1">Changes!$1:$4</definedName>
    <definedName name="_xlnm.Print_Titles" localSheetId="0">Final!$1:$4</definedName>
    <definedName name="_xlnm.Print_Titles" localSheetId="2">'Historical Data'!$1:$4</definedName>
  </definedNames>
  <calcPr calcId="145621"/>
</workbook>
</file>

<file path=xl/calcChain.xml><?xml version="1.0" encoding="utf-8"?>
<calcChain xmlns="http://schemas.openxmlformats.org/spreadsheetml/2006/main">
  <c r="O13" i="4" l="1"/>
  <c r="O21" i="4"/>
  <c r="O41" i="4"/>
  <c r="O50" i="4"/>
  <c r="O56" i="4"/>
  <c r="O61" i="4"/>
  <c r="O71" i="4"/>
  <c r="O81" i="4"/>
  <c r="O91" i="4"/>
  <c r="O96" i="4"/>
  <c r="O101" i="4"/>
  <c r="O110" i="4"/>
  <c r="O119" i="4"/>
  <c r="O132" i="4"/>
  <c r="O144" i="4"/>
  <c r="O155" i="4"/>
  <c r="O164" i="4"/>
  <c r="H13" i="4"/>
  <c r="H21" i="4"/>
  <c r="H41" i="4"/>
  <c r="H50" i="4"/>
  <c r="H56" i="4"/>
  <c r="H61" i="4"/>
  <c r="H71" i="4"/>
  <c r="H81" i="4"/>
  <c r="H91" i="4"/>
  <c r="H96" i="4"/>
  <c r="H101" i="4"/>
  <c r="H110" i="4"/>
  <c r="H119" i="4"/>
  <c r="H132" i="4"/>
  <c r="H144" i="4"/>
  <c r="H155" i="4"/>
  <c r="H164" i="4"/>
  <c r="I164" i="4"/>
  <c r="I155" i="4"/>
  <c r="I144" i="4"/>
  <c r="I132" i="4"/>
  <c r="I119" i="4"/>
  <c r="I110" i="4"/>
  <c r="I101" i="4"/>
  <c r="I96" i="4"/>
  <c r="I91" i="4"/>
  <c r="I81" i="4"/>
  <c r="I71" i="4"/>
  <c r="I61" i="4"/>
  <c r="I56" i="4"/>
  <c r="I50" i="4"/>
  <c r="I41" i="4"/>
  <c r="I21" i="4"/>
  <c r="I22" i="4" s="1"/>
  <c r="I13" i="4"/>
  <c r="N164" i="4"/>
  <c r="N155" i="4"/>
  <c r="N144" i="4"/>
  <c r="N156" i="4" s="1"/>
  <c r="N132" i="4"/>
  <c r="N119" i="4"/>
  <c r="N110" i="4"/>
  <c r="N101" i="4"/>
  <c r="N96" i="4"/>
  <c r="N91" i="4"/>
  <c r="N81" i="4"/>
  <c r="N71" i="4"/>
  <c r="N61" i="4"/>
  <c r="N56" i="4"/>
  <c r="N50" i="4"/>
  <c r="N41" i="4"/>
  <c r="N21" i="4"/>
  <c r="N13" i="4"/>
  <c r="L164" i="4"/>
  <c r="K164" i="4"/>
  <c r="D164" i="4"/>
  <c r="L155" i="4"/>
  <c r="K155" i="4"/>
  <c r="D155" i="4"/>
  <c r="L144" i="4"/>
  <c r="K144" i="4"/>
  <c r="D144" i="4"/>
  <c r="C133" i="4"/>
  <c r="D116" i="4" s="1"/>
  <c r="L132" i="4"/>
  <c r="K132" i="4"/>
  <c r="D127" i="4"/>
  <c r="D126" i="4"/>
  <c r="L119" i="4"/>
  <c r="K119" i="4"/>
  <c r="L110" i="4"/>
  <c r="K110" i="4"/>
  <c r="D110" i="4"/>
  <c r="L101" i="4"/>
  <c r="K101" i="4"/>
  <c r="L96" i="4"/>
  <c r="K96" i="4"/>
  <c r="L91" i="4"/>
  <c r="K91" i="4"/>
  <c r="L81" i="4"/>
  <c r="K81" i="4"/>
  <c r="D81" i="4"/>
  <c r="L71" i="4"/>
  <c r="K71" i="4"/>
  <c r="D71" i="4"/>
  <c r="L61" i="4"/>
  <c r="K61" i="4"/>
  <c r="D61" i="4"/>
  <c r="L56" i="4"/>
  <c r="K56" i="4"/>
  <c r="D56" i="4"/>
  <c r="L50" i="4"/>
  <c r="K50" i="4"/>
  <c r="D47" i="4"/>
  <c r="D50" i="4" s="1"/>
  <c r="L41" i="4"/>
  <c r="K41" i="4"/>
  <c r="D41" i="4"/>
  <c r="L21" i="4"/>
  <c r="K21" i="4"/>
  <c r="D21" i="4"/>
  <c r="L13" i="4"/>
  <c r="K13" i="4"/>
  <c r="D7" i="4"/>
  <c r="D13" i="4" s="1"/>
  <c r="O156" i="4" l="1"/>
  <c r="O133" i="4"/>
  <c r="O82" i="4"/>
  <c r="O22" i="4"/>
  <c r="H156" i="4"/>
  <c r="H133" i="4"/>
  <c r="H82" i="4"/>
  <c r="H22" i="4"/>
  <c r="I156" i="4"/>
  <c r="N22" i="4"/>
  <c r="N82" i="4"/>
  <c r="N133" i="4"/>
  <c r="I82" i="4"/>
  <c r="I133" i="4"/>
  <c r="D115" i="4"/>
  <c r="D94" i="4"/>
  <c r="D96" i="4" s="1"/>
  <c r="K133" i="4"/>
  <c r="K82" i="4"/>
  <c r="D117" i="4"/>
  <c r="K22" i="4"/>
  <c r="D86" i="4"/>
  <c r="D99" i="4"/>
  <c r="D123" i="4"/>
  <c r="D132" i="4" s="1"/>
  <c r="D156" i="4"/>
  <c r="L156" i="4"/>
  <c r="D113" i="4"/>
  <c r="L82" i="4"/>
  <c r="L133" i="4"/>
  <c r="D22" i="4"/>
  <c r="D82" i="4"/>
  <c r="L22" i="4"/>
  <c r="K156" i="4"/>
  <c r="D163" i="3"/>
  <c r="F163" i="3" s="1"/>
  <c r="D162" i="3"/>
  <c r="F162" i="3" s="1"/>
  <c r="D161" i="3"/>
  <c r="F161" i="3" s="1"/>
  <c r="D160" i="3"/>
  <c r="F160" i="3" s="1"/>
  <c r="D154" i="3"/>
  <c r="F154" i="3" s="1"/>
  <c r="D153" i="3"/>
  <c r="F153" i="3" s="1"/>
  <c r="D152" i="3"/>
  <c r="F152" i="3" s="1"/>
  <c r="D151" i="3"/>
  <c r="F151" i="3" s="1"/>
  <c r="D150" i="3"/>
  <c r="F150" i="3" s="1"/>
  <c r="D149" i="3"/>
  <c r="F149" i="3" s="1"/>
  <c r="D148" i="3"/>
  <c r="F148" i="3" s="1"/>
  <c r="D147" i="3"/>
  <c r="F147" i="3" s="1"/>
  <c r="D143" i="3"/>
  <c r="F143" i="3" s="1"/>
  <c r="D142" i="3"/>
  <c r="F142" i="3" s="1"/>
  <c r="D141" i="3"/>
  <c r="F141" i="3" s="1"/>
  <c r="D140" i="3"/>
  <c r="F140" i="3" s="1"/>
  <c r="D139" i="3"/>
  <c r="F139" i="3" s="1"/>
  <c r="D138" i="3"/>
  <c r="F138" i="3" s="1"/>
  <c r="D137" i="3"/>
  <c r="F137" i="3" s="1"/>
  <c r="D131" i="3"/>
  <c r="F131" i="3" s="1"/>
  <c r="D130" i="3"/>
  <c r="F130" i="3" s="1"/>
  <c r="D129" i="3"/>
  <c r="F129" i="3" s="1"/>
  <c r="D128" i="3"/>
  <c r="F128" i="3" s="1"/>
  <c r="D127" i="3"/>
  <c r="F127" i="3" s="1"/>
  <c r="D126" i="3"/>
  <c r="D125" i="3"/>
  <c r="F125" i="3" s="1"/>
  <c r="D124" i="3"/>
  <c r="F124" i="3" s="1"/>
  <c r="D123" i="3"/>
  <c r="F123" i="3" s="1"/>
  <c r="D122" i="3"/>
  <c r="F122" i="3" s="1"/>
  <c r="D118" i="3"/>
  <c r="F118" i="3" s="1"/>
  <c r="D117" i="3"/>
  <c r="F117" i="3" s="1"/>
  <c r="D116" i="3"/>
  <c r="F116" i="3" s="1"/>
  <c r="D115" i="3"/>
  <c r="F115" i="3" s="1"/>
  <c r="D114" i="3"/>
  <c r="F114" i="3" s="1"/>
  <c r="D113" i="3"/>
  <c r="F113" i="3" s="1"/>
  <c r="D109" i="3"/>
  <c r="F109" i="3" s="1"/>
  <c r="D108" i="3"/>
  <c r="F108" i="3" s="1"/>
  <c r="D107" i="3"/>
  <c r="F107" i="3" s="1"/>
  <c r="D106" i="3"/>
  <c r="F106" i="3" s="1"/>
  <c r="D105" i="3"/>
  <c r="F105" i="3" s="1"/>
  <c r="D104" i="3"/>
  <c r="F104" i="3" s="1"/>
  <c r="D100" i="3"/>
  <c r="F100" i="3" s="1"/>
  <c r="D99" i="3"/>
  <c r="F99" i="3" s="1"/>
  <c r="D95" i="3"/>
  <c r="F95" i="3" s="1"/>
  <c r="D94" i="3"/>
  <c r="F94" i="3" s="1"/>
  <c r="F96" i="3" s="1"/>
  <c r="D90" i="3"/>
  <c r="F90" i="3" s="1"/>
  <c r="D89" i="3"/>
  <c r="F89" i="3" s="1"/>
  <c r="D88" i="3"/>
  <c r="F88" i="3" s="1"/>
  <c r="D87" i="3"/>
  <c r="F87" i="3" s="1"/>
  <c r="D86" i="3"/>
  <c r="F86" i="3" s="1"/>
  <c r="F91" i="3" s="1"/>
  <c r="D80" i="3"/>
  <c r="F80" i="3" s="1"/>
  <c r="D79" i="3"/>
  <c r="F79" i="3" s="1"/>
  <c r="D78" i="3"/>
  <c r="F78" i="3" s="1"/>
  <c r="D77" i="3"/>
  <c r="F77" i="3" s="1"/>
  <c r="D76" i="3"/>
  <c r="F76" i="3" s="1"/>
  <c r="D75" i="3"/>
  <c r="F75" i="3" s="1"/>
  <c r="D74" i="3"/>
  <c r="F74" i="3" s="1"/>
  <c r="D70" i="3"/>
  <c r="F70" i="3" s="1"/>
  <c r="D69" i="3"/>
  <c r="F69" i="3" s="1"/>
  <c r="D68" i="3"/>
  <c r="F68" i="3" s="1"/>
  <c r="D67" i="3"/>
  <c r="F67" i="3" s="1"/>
  <c r="D66" i="3"/>
  <c r="F66" i="3" s="1"/>
  <c r="F71" i="3" s="1"/>
  <c r="D63" i="3"/>
  <c r="F63" i="3" s="1"/>
  <c r="D60" i="3"/>
  <c r="F60" i="3" s="1"/>
  <c r="D59" i="3"/>
  <c r="F59" i="3" s="1"/>
  <c r="F61" i="3" s="1"/>
  <c r="D55" i="3"/>
  <c r="F55" i="3" s="1"/>
  <c r="D54" i="3"/>
  <c r="F54" i="3" s="1"/>
  <c r="D53" i="3"/>
  <c r="F53" i="3" s="1"/>
  <c r="D49" i="3"/>
  <c r="F49" i="3" s="1"/>
  <c r="D48" i="3"/>
  <c r="F48" i="3" s="1"/>
  <c r="D47" i="3"/>
  <c r="D46" i="3"/>
  <c r="F46" i="3" s="1"/>
  <c r="D43" i="3"/>
  <c r="F43" i="3" s="1"/>
  <c r="D40" i="3"/>
  <c r="F40" i="3" s="1"/>
  <c r="D39" i="3"/>
  <c r="F39" i="3" s="1"/>
  <c r="D38" i="3"/>
  <c r="F38" i="3" s="1"/>
  <c r="D37" i="3"/>
  <c r="F37" i="3" s="1"/>
  <c r="D36" i="3"/>
  <c r="F36" i="3" s="1"/>
  <c r="D35" i="3"/>
  <c r="F35" i="3" s="1"/>
  <c r="D30" i="3"/>
  <c r="D29" i="3"/>
  <c r="F29" i="3" s="1"/>
  <c r="D28" i="3"/>
  <c r="F28" i="3" s="1"/>
  <c r="D27" i="3"/>
  <c r="F27" i="3" s="1"/>
  <c r="D26" i="3"/>
  <c r="D20" i="3"/>
  <c r="F20" i="3" s="1"/>
  <c r="D19" i="3"/>
  <c r="F19" i="3" s="1"/>
  <c r="D18" i="3"/>
  <c r="F18" i="3" s="1"/>
  <c r="D17" i="3"/>
  <c r="F17" i="3" s="1"/>
  <c r="D16" i="3"/>
  <c r="D8" i="3"/>
  <c r="F8" i="3" s="1"/>
  <c r="D9" i="3"/>
  <c r="F9" i="3" s="1"/>
  <c r="D10" i="3"/>
  <c r="F10" i="3" s="1"/>
  <c r="D11" i="3"/>
  <c r="F11" i="3" s="1"/>
  <c r="D12" i="3"/>
  <c r="F12" i="3" s="1"/>
  <c r="D7" i="3"/>
  <c r="F7" i="3" s="1"/>
  <c r="E164" i="3"/>
  <c r="E155" i="3"/>
  <c r="E144" i="3"/>
  <c r="E156" i="3" s="1"/>
  <c r="E127" i="3"/>
  <c r="E126" i="3"/>
  <c r="E110" i="3"/>
  <c r="E81" i="3"/>
  <c r="E71" i="3"/>
  <c r="E61" i="3"/>
  <c r="E56" i="3"/>
  <c r="E50" i="3"/>
  <c r="E82" i="3" s="1"/>
  <c r="E47" i="3"/>
  <c r="E41" i="3"/>
  <c r="E21" i="3"/>
  <c r="E13" i="3"/>
  <c r="E22" i="3" s="1"/>
  <c r="O166" i="4" l="1"/>
  <c r="O167" i="4" s="1"/>
  <c r="H166" i="4"/>
  <c r="H167" i="4" s="1"/>
  <c r="L166" i="4"/>
  <c r="L167" i="4" s="1"/>
  <c r="N166" i="4"/>
  <c r="N167" i="4" s="1"/>
  <c r="I166" i="4"/>
  <c r="I167" i="4" s="1"/>
  <c r="D119" i="4"/>
  <c r="D91" i="4"/>
  <c r="K166" i="4"/>
  <c r="K167" i="4" s="1"/>
  <c r="D101" i="4"/>
  <c r="D26" i="4"/>
  <c r="D30" i="4" s="1"/>
  <c r="D31" i="4" s="1"/>
  <c r="D21" i="3"/>
  <c r="F16" i="3"/>
  <c r="F21" i="3" s="1"/>
  <c r="F50" i="3"/>
  <c r="F56" i="3"/>
  <c r="F155" i="3"/>
  <c r="F164" i="3"/>
  <c r="F13" i="3"/>
  <c r="F41" i="3"/>
  <c r="F47" i="3"/>
  <c r="F101" i="3"/>
  <c r="F119" i="3"/>
  <c r="F144" i="3"/>
  <c r="F81" i="3"/>
  <c r="F110" i="3"/>
  <c r="F126" i="3"/>
  <c r="F132" i="3" s="1"/>
  <c r="F133" i="3" s="1"/>
  <c r="E26" i="3"/>
  <c r="E30" i="3" s="1"/>
  <c r="E31" i="3" s="1"/>
  <c r="D133" i="4" l="1"/>
  <c r="D166" i="4" s="1"/>
  <c r="F22" i="3"/>
  <c r="F30" i="3"/>
  <c r="F31" i="3" s="1"/>
  <c r="F166" i="3" s="1"/>
  <c r="F167" i="3" s="1"/>
  <c r="F82" i="3"/>
  <c r="F156" i="3"/>
  <c r="F26" i="3"/>
  <c r="D164" i="3"/>
  <c r="G164" i="3" s="1"/>
  <c r="G163" i="3"/>
  <c r="G162" i="3"/>
  <c r="G161" i="3"/>
  <c r="G160" i="3"/>
  <c r="D155" i="3"/>
  <c r="G155" i="3" s="1"/>
  <c r="G154" i="3"/>
  <c r="G153" i="3"/>
  <c r="G152" i="3"/>
  <c r="G151" i="3"/>
  <c r="G150" i="3"/>
  <c r="G149" i="3"/>
  <c r="G148" i="3"/>
  <c r="G147" i="3"/>
  <c r="D144" i="3"/>
  <c r="G143" i="3"/>
  <c r="G142" i="3"/>
  <c r="G141" i="3"/>
  <c r="G140" i="3"/>
  <c r="G139" i="3"/>
  <c r="G138" i="3"/>
  <c r="G137" i="3"/>
  <c r="G131" i="3"/>
  <c r="G130" i="3"/>
  <c r="G129" i="3"/>
  <c r="G128" i="3"/>
  <c r="G127" i="3"/>
  <c r="G126" i="3"/>
  <c r="G125" i="3"/>
  <c r="G124" i="3"/>
  <c r="G118" i="3"/>
  <c r="G114" i="3"/>
  <c r="D110" i="3"/>
  <c r="G110" i="3" s="1"/>
  <c r="G109" i="3"/>
  <c r="G108" i="3"/>
  <c r="G107" i="3"/>
  <c r="G106" i="3"/>
  <c r="G105" i="3"/>
  <c r="G104" i="3"/>
  <c r="G100" i="3"/>
  <c r="G95" i="3"/>
  <c r="G90" i="3"/>
  <c r="G89" i="3"/>
  <c r="G88" i="3"/>
  <c r="G87" i="3"/>
  <c r="D81" i="3"/>
  <c r="G80" i="3"/>
  <c r="G79" i="3"/>
  <c r="G78" i="3"/>
  <c r="G77" i="3"/>
  <c r="G76" i="3"/>
  <c r="G75" i="3"/>
  <c r="G74" i="3"/>
  <c r="D71" i="3"/>
  <c r="G70" i="3"/>
  <c r="G69" i="3"/>
  <c r="G68" i="3"/>
  <c r="G67" i="3"/>
  <c r="G66" i="3"/>
  <c r="G63" i="3"/>
  <c r="D61" i="3"/>
  <c r="G61" i="3" s="1"/>
  <c r="G60" i="3"/>
  <c r="G59" i="3"/>
  <c r="D56" i="3"/>
  <c r="G56" i="3" s="1"/>
  <c r="G55" i="3"/>
  <c r="G54" i="3"/>
  <c r="G53" i="3"/>
  <c r="G49" i="3"/>
  <c r="G48" i="3"/>
  <c r="G47" i="3"/>
  <c r="D50" i="3"/>
  <c r="G46" i="3"/>
  <c r="G43" i="3"/>
  <c r="D41" i="3"/>
  <c r="G41" i="3" s="1"/>
  <c r="G40" i="3"/>
  <c r="G39" i="3"/>
  <c r="G38" i="3"/>
  <c r="G37" i="3"/>
  <c r="G36" i="3"/>
  <c r="G35" i="3"/>
  <c r="G21" i="3"/>
  <c r="G20" i="3"/>
  <c r="G19" i="3"/>
  <c r="G18" i="3"/>
  <c r="G17" i="3"/>
  <c r="G16" i="3"/>
  <c r="G12" i="3"/>
  <c r="G11" i="3"/>
  <c r="G10" i="3"/>
  <c r="G9" i="3"/>
  <c r="G8" i="3"/>
  <c r="D13" i="3"/>
  <c r="D167" i="4" l="1"/>
  <c r="D156" i="3"/>
  <c r="G144" i="3"/>
  <c r="G81" i="3"/>
  <c r="G71" i="3"/>
  <c r="D22" i="3"/>
  <c r="D82" i="3"/>
  <c r="G50" i="3"/>
  <c r="G7" i="3"/>
  <c r="G13" i="3"/>
  <c r="G156" i="3"/>
  <c r="D7" i="1"/>
  <c r="G82" i="3" l="1"/>
  <c r="D31" i="3"/>
  <c r="G22" i="3"/>
  <c r="C133" i="1"/>
  <c r="G31" i="3" l="1"/>
  <c r="D123" i="1"/>
  <c r="D117" i="1"/>
  <c r="D116" i="1"/>
  <c r="D115" i="1"/>
  <c r="D113" i="1"/>
  <c r="D99" i="1"/>
  <c r="D94" i="1"/>
  <c r="D86" i="1"/>
  <c r="D126" i="1" l="1"/>
  <c r="K61" i="1" l="1"/>
  <c r="J61" i="1"/>
  <c r="G61" i="1"/>
  <c r="E61" i="1"/>
  <c r="D61" i="1"/>
  <c r="L60" i="1"/>
  <c r="H60" i="1"/>
  <c r="F60" i="1"/>
  <c r="L59" i="1"/>
  <c r="H59" i="1"/>
  <c r="F59" i="1"/>
  <c r="D47" i="1"/>
  <c r="H61" i="1" l="1"/>
  <c r="L61" i="1"/>
  <c r="F61" i="1"/>
  <c r="D127" i="1"/>
  <c r="H128" i="1" l="1"/>
  <c r="F129" i="1"/>
  <c r="F104" i="1"/>
  <c r="F163" i="1"/>
  <c r="F162" i="1"/>
  <c r="F161" i="1"/>
  <c r="F160" i="1"/>
  <c r="F154" i="1"/>
  <c r="F153" i="1"/>
  <c r="F152" i="1"/>
  <c r="F151" i="1"/>
  <c r="F150" i="1"/>
  <c r="F149" i="1"/>
  <c r="F148" i="1"/>
  <c r="F147" i="1"/>
  <c r="F143" i="1"/>
  <c r="F142" i="1"/>
  <c r="F141" i="1"/>
  <c r="F140" i="1"/>
  <c r="F139" i="1"/>
  <c r="F138" i="1"/>
  <c r="F137" i="1"/>
  <c r="F131" i="1"/>
  <c r="F130" i="1"/>
  <c r="F127" i="1"/>
  <c r="F126" i="1"/>
  <c r="F125" i="1"/>
  <c r="F124" i="1"/>
  <c r="F123" i="1"/>
  <c r="F118" i="1"/>
  <c r="F117" i="1"/>
  <c r="F116" i="1"/>
  <c r="F115" i="1"/>
  <c r="F114" i="1"/>
  <c r="F113" i="1"/>
  <c r="F109" i="1"/>
  <c r="F108" i="1"/>
  <c r="F107" i="1"/>
  <c r="F106" i="1"/>
  <c r="F105" i="1"/>
  <c r="F100" i="1"/>
  <c r="F99" i="1"/>
  <c r="F95" i="1"/>
  <c r="F94" i="1"/>
  <c r="F90" i="1"/>
  <c r="F89" i="1"/>
  <c r="F88" i="1"/>
  <c r="F87" i="1"/>
  <c r="F86" i="1"/>
  <c r="F80" i="1"/>
  <c r="F79" i="1"/>
  <c r="F78" i="1"/>
  <c r="F77" i="1"/>
  <c r="F76" i="1"/>
  <c r="F75" i="1"/>
  <c r="F74" i="1"/>
  <c r="F70" i="1"/>
  <c r="F69" i="1"/>
  <c r="F68" i="1"/>
  <c r="F67" i="1"/>
  <c r="F66" i="1"/>
  <c r="F63" i="1"/>
  <c r="F55" i="1"/>
  <c r="F54" i="1"/>
  <c r="F53" i="1"/>
  <c r="F49" i="1"/>
  <c r="F48" i="1"/>
  <c r="F47" i="1"/>
  <c r="F46" i="1"/>
  <c r="F43" i="1"/>
  <c r="F40" i="1"/>
  <c r="F39" i="1"/>
  <c r="F38" i="1"/>
  <c r="F37" i="1"/>
  <c r="F36" i="1"/>
  <c r="F35" i="1"/>
  <c r="F20" i="1"/>
  <c r="F19" i="1"/>
  <c r="F18" i="1"/>
  <c r="F17" i="1"/>
  <c r="F16" i="1"/>
  <c r="F12" i="1"/>
  <c r="F11" i="1"/>
  <c r="F10" i="1"/>
  <c r="F9" i="1"/>
  <c r="F8" i="1"/>
  <c r="F7" i="1"/>
  <c r="E164" i="1"/>
  <c r="E155" i="1"/>
  <c r="E144" i="1"/>
  <c r="E132" i="1"/>
  <c r="E119" i="1"/>
  <c r="E110" i="1"/>
  <c r="E101" i="1"/>
  <c r="E96" i="1"/>
  <c r="E91" i="1"/>
  <c r="E81" i="1"/>
  <c r="E71" i="1"/>
  <c r="E56" i="1"/>
  <c r="E50" i="1"/>
  <c r="E41" i="1"/>
  <c r="E21" i="1"/>
  <c r="E13" i="1"/>
  <c r="L7" i="1"/>
  <c r="L163" i="1"/>
  <c r="L162" i="1"/>
  <c r="L161" i="1"/>
  <c r="L160" i="1"/>
  <c r="L154" i="1"/>
  <c r="L153" i="1"/>
  <c r="L152" i="1"/>
  <c r="L151" i="1"/>
  <c r="L150" i="1"/>
  <c r="L149" i="1"/>
  <c r="L148" i="1"/>
  <c r="L147" i="1"/>
  <c r="L143" i="1"/>
  <c r="L142" i="1"/>
  <c r="L141" i="1"/>
  <c r="L140" i="1"/>
  <c r="L139" i="1"/>
  <c r="L138" i="1"/>
  <c r="L137" i="1"/>
  <c r="L131" i="1"/>
  <c r="L130" i="1"/>
  <c r="L129" i="1"/>
  <c r="L128" i="1"/>
  <c r="L127" i="1"/>
  <c r="L126" i="1"/>
  <c r="L125" i="1"/>
  <c r="L124" i="1"/>
  <c r="L123" i="1"/>
  <c r="L122" i="1"/>
  <c r="L118" i="1"/>
  <c r="L117" i="1"/>
  <c r="L116" i="1"/>
  <c r="L115" i="1"/>
  <c r="L114" i="1"/>
  <c r="L113" i="1"/>
  <c r="L109" i="1"/>
  <c r="L108" i="1"/>
  <c r="L107" i="1"/>
  <c r="L106" i="1"/>
  <c r="L105" i="1"/>
  <c r="L104" i="1"/>
  <c r="L100" i="1"/>
  <c r="L99" i="1"/>
  <c r="L95" i="1"/>
  <c r="L94" i="1"/>
  <c r="L90" i="1"/>
  <c r="L89" i="1"/>
  <c r="L88" i="1"/>
  <c r="L87" i="1"/>
  <c r="L86" i="1"/>
  <c r="L80" i="1"/>
  <c r="L79" i="1"/>
  <c r="L78" i="1"/>
  <c r="L77" i="1"/>
  <c r="L76" i="1"/>
  <c r="L75" i="1"/>
  <c r="L74" i="1"/>
  <c r="L70" i="1"/>
  <c r="L69" i="1"/>
  <c r="L68" i="1"/>
  <c r="L67" i="1"/>
  <c r="L66" i="1"/>
  <c r="L63" i="1"/>
  <c r="L55" i="1"/>
  <c r="L54" i="1"/>
  <c r="L53" i="1"/>
  <c r="L49" i="1"/>
  <c r="L48" i="1"/>
  <c r="L47" i="1"/>
  <c r="L46" i="1"/>
  <c r="L43" i="1"/>
  <c r="L40" i="1"/>
  <c r="L39" i="1"/>
  <c r="L38" i="1"/>
  <c r="L37" i="1"/>
  <c r="L36" i="1"/>
  <c r="L35" i="1"/>
  <c r="L31" i="1"/>
  <c r="L20" i="1"/>
  <c r="L19" i="1"/>
  <c r="L18" i="1"/>
  <c r="L17" i="1"/>
  <c r="L16" i="1"/>
  <c r="L12" i="1"/>
  <c r="L11" i="1"/>
  <c r="L10" i="1"/>
  <c r="L9" i="1"/>
  <c r="L8" i="1"/>
  <c r="K13" i="1"/>
  <c r="K21" i="1"/>
  <c r="K41" i="1"/>
  <c r="K50" i="1"/>
  <c r="K56" i="1"/>
  <c r="K71" i="1"/>
  <c r="K81" i="1"/>
  <c r="K91" i="1"/>
  <c r="K96" i="1"/>
  <c r="K101" i="1"/>
  <c r="K110" i="1"/>
  <c r="K119" i="1"/>
  <c r="K132" i="1"/>
  <c r="K144" i="1"/>
  <c r="K155" i="1"/>
  <c r="K164" i="1"/>
  <c r="J164" i="1"/>
  <c r="J155" i="1"/>
  <c r="J144" i="1"/>
  <c r="J132" i="1"/>
  <c r="J119" i="1"/>
  <c r="J110" i="1"/>
  <c r="J101" i="1"/>
  <c r="J96" i="1"/>
  <c r="J91" i="1"/>
  <c r="J81" i="1"/>
  <c r="J71" i="1"/>
  <c r="J56" i="1"/>
  <c r="J50" i="1"/>
  <c r="J41" i="1"/>
  <c r="J21" i="1"/>
  <c r="J13" i="1"/>
  <c r="G164" i="1"/>
  <c r="D164" i="1"/>
  <c r="H163" i="1"/>
  <c r="H162" i="1"/>
  <c r="H161" i="1"/>
  <c r="H160" i="1"/>
  <c r="H153" i="1"/>
  <c r="G155" i="1"/>
  <c r="D155" i="1"/>
  <c r="H154" i="1"/>
  <c r="H152" i="1"/>
  <c r="H151" i="1"/>
  <c r="H150" i="1"/>
  <c r="H149" i="1"/>
  <c r="H148" i="1"/>
  <c r="H147" i="1"/>
  <c r="G144" i="1"/>
  <c r="D144" i="1"/>
  <c r="H143" i="1"/>
  <c r="H142" i="1"/>
  <c r="H141" i="1"/>
  <c r="H140" i="1"/>
  <c r="H139" i="1"/>
  <c r="H138" i="1"/>
  <c r="H137" i="1"/>
  <c r="H127" i="1"/>
  <c r="H130" i="1"/>
  <c r="G132" i="1"/>
  <c r="H131" i="1"/>
  <c r="H126" i="1"/>
  <c r="H125" i="1"/>
  <c r="H124" i="1"/>
  <c r="H123" i="1"/>
  <c r="G119" i="1"/>
  <c r="D119" i="1"/>
  <c r="H118" i="1"/>
  <c r="H117" i="1"/>
  <c r="H116" i="1"/>
  <c r="H115" i="1"/>
  <c r="H114" i="1"/>
  <c r="H113" i="1"/>
  <c r="H108" i="1"/>
  <c r="G110" i="1"/>
  <c r="D110" i="1"/>
  <c r="H109" i="1"/>
  <c r="H107" i="1"/>
  <c r="H106" i="1"/>
  <c r="H105" i="1"/>
  <c r="G101" i="1"/>
  <c r="D101" i="1"/>
  <c r="H100" i="1"/>
  <c r="H99" i="1"/>
  <c r="G96" i="1"/>
  <c r="D96" i="1"/>
  <c r="H95" i="1"/>
  <c r="H94" i="1"/>
  <c r="G91" i="1"/>
  <c r="D91" i="1"/>
  <c r="H90" i="1"/>
  <c r="H89" i="1"/>
  <c r="H88" i="1"/>
  <c r="H87" i="1"/>
  <c r="H86" i="1"/>
  <c r="H78" i="1"/>
  <c r="H79" i="1"/>
  <c r="G81" i="1"/>
  <c r="D81" i="1"/>
  <c r="H80" i="1"/>
  <c r="H77" i="1"/>
  <c r="H76" i="1"/>
  <c r="H75" i="1"/>
  <c r="H74" i="1"/>
  <c r="H68" i="1"/>
  <c r="H69" i="1"/>
  <c r="G71" i="1"/>
  <c r="D71" i="1"/>
  <c r="H70" i="1"/>
  <c r="H67" i="1"/>
  <c r="H66" i="1"/>
  <c r="H63" i="1"/>
  <c r="D56" i="1"/>
  <c r="H54" i="1"/>
  <c r="G56" i="1"/>
  <c r="H55" i="1"/>
  <c r="H53" i="1"/>
  <c r="G50" i="1"/>
  <c r="D50" i="1"/>
  <c r="H49" i="1"/>
  <c r="H48" i="1"/>
  <c r="H47" i="1"/>
  <c r="H46" i="1"/>
  <c r="H43" i="1"/>
  <c r="H40" i="1"/>
  <c r="H39" i="1"/>
  <c r="H38" i="1"/>
  <c r="H37" i="1"/>
  <c r="H36" i="1"/>
  <c r="H35" i="1"/>
  <c r="G41" i="1"/>
  <c r="G82" i="1" s="1"/>
  <c r="D41" i="1"/>
  <c r="D82" i="1" s="1"/>
  <c r="H20" i="1"/>
  <c r="H19" i="1"/>
  <c r="H18" i="1"/>
  <c r="H17" i="1"/>
  <c r="H16" i="1"/>
  <c r="H12" i="1"/>
  <c r="H11" i="1"/>
  <c r="H10" i="1"/>
  <c r="H9" i="1"/>
  <c r="H8" i="1"/>
  <c r="H7" i="1"/>
  <c r="G21" i="1"/>
  <c r="D21" i="1"/>
  <c r="D13" i="1"/>
  <c r="G13" i="1"/>
  <c r="K82" i="1" l="1"/>
  <c r="J82" i="1"/>
  <c r="E82" i="1"/>
  <c r="F56" i="1"/>
  <c r="F128" i="1"/>
  <c r="H129" i="1"/>
  <c r="F71" i="1"/>
  <c r="L119" i="1"/>
  <c r="F81" i="1"/>
  <c r="F101" i="1"/>
  <c r="F41" i="1"/>
  <c r="F21" i="1"/>
  <c r="G156" i="1"/>
  <c r="J22" i="1"/>
  <c r="F164" i="1"/>
  <c r="F155" i="1"/>
  <c r="L101" i="1"/>
  <c r="L71" i="1"/>
  <c r="L21" i="1"/>
  <c r="F13" i="1"/>
  <c r="F50" i="1"/>
  <c r="F110" i="1"/>
  <c r="L50" i="1"/>
  <c r="L91" i="1"/>
  <c r="L132" i="1"/>
  <c r="L96" i="1"/>
  <c r="L56" i="1"/>
  <c r="L13" i="1"/>
  <c r="F144" i="1"/>
  <c r="F119" i="1"/>
  <c r="L164" i="1"/>
  <c r="E22" i="1"/>
  <c r="F91" i="1"/>
  <c r="F96" i="1"/>
  <c r="L144" i="1"/>
  <c r="L155" i="1"/>
  <c r="L110" i="1"/>
  <c r="L81" i="1"/>
  <c r="L41" i="1"/>
  <c r="H104" i="1"/>
  <c r="E156" i="1"/>
  <c r="E133" i="1"/>
  <c r="K156" i="1"/>
  <c r="K133" i="1"/>
  <c r="K22" i="1"/>
  <c r="J156" i="1"/>
  <c r="D156" i="1"/>
  <c r="J133" i="1"/>
  <c r="H119" i="1"/>
  <c r="H164" i="1"/>
  <c r="H155" i="1"/>
  <c r="H144" i="1"/>
  <c r="G133" i="1"/>
  <c r="G166" i="1" s="1"/>
  <c r="H101" i="1"/>
  <c r="H110" i="1"/>
  <c r="D22" i="1"/>
  <c r="D26" i="1" s="1"/>
  <c r="D30" i="1" s="1"/>
  <c r="H96" i="1"/>
  <c r="H91" i="1"/>
  <c r="H21" i="1"/>
  <c r="H81" i="1"/>
  <c r="H71" i="1"/>
  <c r="H56" i="1"/>
  <c r="G22" i="1"/>
  <c r="H50" i="1"/>
  <c r="H41" i="1"/>
  <c r="H13" i="1"/>
  <c r="K166" i="1" l="1"/>
  <c r="L22" i="1"/>
  <c r="J166" i="1"/>
  <c r="J167" i="1" s="1"/>
  <c r="E166" i="1"/>
  <c r="D31" i="1"/>
  <c r="H31" i="1" s="1"/>
  <c r="F22" i="1"/>
  <c r="F156" i="1"/>
  <c r="L82" i="1"/>
  <c r="L133" i="1"/>
  <c r="L156" i="1"/>
  <c r="G167" i="1"/>
  <c r="H156" i="1"/>
  <c r="H22" i="1"/>
  <c r="F31" i="1" l="1"/>
  <c r="H82" i="1"/>
  <c r="F82" i="1"/>
  <c r="K167" i="1"/>
  <c r="L167" i="1" s="1"/>
  <c r="L166" i="1"/>
  <c r="E167" i="1" l="1"/>
  <c r="H122" i="1" l="1"/>
  <c r="F122" i="1"/>
  <c r="D132" i="1"/>
  <c r="H132" i="1" s="1"/>
  <c r="F132" i="1" l="1"/>
  <c r="D133" i="1"/>
  <c r="D166" i="1" s="1"/>
  <c r="H133" i="1" l="1"/>
  <c r="F133" i="1"/>
  <c r="H166" i="1" l="1"/>
  <c r="D167" i="1"/>
  <c r="F166" i="1"/>
  <c r="H167" i="1" l="1"/>
  <c r="F167" i="1"/>
  <c r="D91" i="3"/>
  <c r="D96" i="3"/>
  <c r="D101" i="3"/>
  <c r="D119" i="3" l="1"/>
  <c r="D132" i="3"/>
  <c r="D133" i="3" s="1"/>
  <c r="D166" i="3" l="1"/>
  <c r="G122" i="3" l="1"/>
  <c r="D167" i="3"/>
  <c r="E91" i="3"/>
  <c r="G91" i="3" s="1"/>
  <c r="G86" i="3"/>
  <c r="E96" i="3"/>
  <c r="G94" i="3"/>
  <c r="G96" i="3" l="1"/>
  <c r="G99" i="3"/>
  <c r="E101" i="3"/>
  <c r="G101" i="3" s="1"/>
  <c r="G113" i="3"/>
  <c r="G115" i="3"/>
  <c r="G116" i="3"/>
  <c r="E119" i="3"/>
  <c r="G119" i="3" s="1"/>
  <c r="G117" i="3"/>
  <c r="G123" i="3"/>
  <c r="E132" i="3"/>
  <c r="G132" i="3" s="1"/>
  <c r="E133" i="3"/>
  <c r="G133" i="3" s="1"/>
  <c r="E166" i="3" l="1"/>
  <c r="G166" i="3" s="1"/>
  <c r="E167" i="3" l="1"/>
  <c r="G167" i="3" s="1"/>
</calcChain>
</file>

<file path=xl/comments1.xml><?xml version="1.0" encoding="utf-8"?>
<comments xmlns="http://schemas.openxmlformats.org/spreadsheetml/2006/main">
  <authors>
    <author>Jacobson, Dawn M.</author>
  </authors>
  <commentList>
    <comment ref="D126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$7.5/hour for 4 hours per week for 20 weeks
Per Cheryl</t>
        </r>
      </text>
    </comment>
  </commentList>
</comments>
</file>

<file path=xl/comments2.xml><?xml version="1.0" encoding="utf-8"?>
<comments xmlns="http://schemas.openxmlformats.org/spreadsheetml/2006/main">
  <authors>
    <author>Jacobson, Dawn M.</author>
  </authors>
  <commentList>
    <comment ref="E126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$7.5/hour for 4 hours per week for 20 weeks
Per Cheryl</t>
        </r>
      </text>
    </comment>
  </commentList>
</comments>
</file>

<file path=xl/comments3.xml><?xml version="1.0" encoding="utf-8"?>
<comments xmlns="http://schemas.openxmlformats.org/spreadsheetml/2006/main">
  <authors>
    <author>Jacobson, Dawn M.</author>
  </authors>
  <commentList>
    <comment ref="D126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$7.5/hour for 4 hours per week for 20 weeks
Per Cheryl</t>
        </r>
      </text>
    </comment>
  </commentList>
</comments>
</file>

<file path=xl/sharedStrings.xml><?xml version="1.0" encoding="utf-8"?>
<sst xmlns="http://schemas.openxmlformats.org/spreadsheetml/2006/main" count="504" uniqueCount="179">
  <si>
    <t>Income</t>
  </si>
  <si>
    <t>Envelope Giving</t>
  </si>
  <si>
    <t>Advent Envelopes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</si>
  <si>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</si>
  <si>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</si>
  <si>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</si>
  <si>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</si>
  <si>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</si>
  <si>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</si>
  <si>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</si>
  <si>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</si>
  <si>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Total Misc Income</t>
  </si>
  <si>
    <t>Current Investment Income</t>
  </si>
  <si>
    <t>2012 Budget</t>
  </si>
  <si>
    <t>TOTAL INCOME</t>
  </si>
  <si>
    <t>Expenses</t>
  </si>
  <si>
    <t>Mortgage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</si>
  <si>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</si>
  <si>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</si>
  <si>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</si>
  <si>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</si>
  <si>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</si>
  <si>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</si>
  <si>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</si>
  <si>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</si>
  <si>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</si>
  <si>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PACE</t>
  </si>
  <si>
    <t>Deacons</t>
  </si>
  <si>
    <t>Total Deacons</t>
  </si>
  <si>
    <t>Worship Supplies</t>
  </si>
  <si>
    <t>Saturday Nite Lite</t>
  </si>
  <si>
    <t>Children's Services</t>
  </si>
  <si>
    <t>Flowers</t>
  </si>
  <si>
    <t>Youth</t>
  </si>
  <si>
    <t>Youth Activities</t>
  </si>
  <si>
    <t>Total Youth</t>
  </si>
  <si>
    <t>Church &amp; Society</t>
  </si>
  <si>
    <t>Misc Programs</t>
  </si>
  <si>
    <t>Stewardship</t>
  </si>
  <si>
    <t>Envelopes, Giving</t>
  </si>
  <si>
    <t>Synod Assembly</t>
  </si>
  <si>
    <t>Evangelism</t>
  </si>
  <si>
    <t>Organ/Piano Maintenance/Tuning</t>
  </si>
  <si>
    <t>Total Misc Programs</t>
  </si>
  <si>
    <t>Office Expense</t>
  </si>
  <si>
    <t>Office Supplies</t>
  </si>
  <si>
    <t>Postage</t>
  </si>
  <si>
    <t>Advertising - Yellow/White Pages</t>
  </si>
  <si>
    <t>Office Equipment/Computer</t>
  </si>
  <si>
    <t>Kitchen Supplies</t>
  </si>
  <si>
    <t>Bank Fees</t>
  </si>
  <si>
    <t>STAFF</t>
  </si>
  <si>
    <t>Senior Pastor</t>
  </si>
  <si>
    <t>Total Office Expense</t>
  </si>
  <si>
    <t>Salary/FICA/Housing</t>
  </si>
  <si>
    <t>Travel Allowance</t>
  </si>
  <si>
    <t>Pension/Insurance</t>
  </si>
  <si>
    <t>Supplemental Insurance</t>
  </si>
  <si>
    <t>Continuing Education</t>
  </si>
  <si>
    <t>Total Senior Pastor</t>
  </si>
  <si>
    <t>Support Pastor</t>
  </si>
  <si>
    <t>Salary</t>
  </si>
  <si>
    <t>Travel Expense</t>
  </si>
  <si>
    <t>Total Support Pastor</t>
  </si>
  <si>
    <t>Youth Director</t>
  </si>
  <si>
    <t>Youth Assistant</t>
  </si>
  <si>
    <t>Total Youth Director</t>
  </si>
  <si>
    <t>Assoc. In Ministry (A.I.M.)</t>
  </si>
  <si>
    <t>Dental Premium</t>
  </si>
  <si>
    <t>Total A.I.M.</t>
  </si>
  <si>
    <t>Music Staff</t>
  </si>
  <si>
    <t>Organist</t>
  </si>
  <si>
    <t>Organist - subs</t>
  </si>
  <si>
    <t>Revelation Band</t>
  </si>
  <si>
    <t>Chancel Choir Director</t>
  </si>
  <si>
    <t>Youth Choir</t>
  </si>
  <si>
    <t>Music - Extra</t>
  </si>
  <si>
    <t>Total Music Staff</t>
  </si>
  <si>
    <t>Other Staff</t>
  </si>
  <si>
    <t>Total Other Staff</t>
  </si>
  <si>
    <t>Custodians</t>
  </si>
  <si>
    <t>Staff Development</t>
  </si>
  <si>
    <t>Staff Contingency/Jan T Gift</t>
  </si>
  <si>
    <t>Nursery Staff</t>
  </si>
  <si>
    <t>Church - FICA/MED</t>
  </si>
  <si>
    <t>Workers Compensation</t>
  </si>
  <si>
    <t>Supply Pastor Expenses</t>
  </si>
  <si>
    <t>Staff Compensation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</si>
  <si>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</si>
  <si>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</si>
  <si>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</si>
  <si>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</si>
  <si>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</si>
  <si>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</si>
  <si>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</si>
  <si>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</si>
  <si>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</si>
  <si>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</si>
  <si>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City Assessment/Parking Lot</t>
  </si>
  <si>
    <t>Total Utilities</t>
  </si>
  <si>
    <t>Church Maintenance</t>
  </si>
  <si>
    <t>Insurance</t>
  </si>
  <si>
    <t>Snow Removal</t>
  </si>
  <si>
    <t>Misc Supplies</t>
  </si>
  <si>
    <t>Building Repairs</t>
  </si>
  <si>
    <t>Trustee Contingency</t>
  </si>
  <si>
    <t>Interest-Line of Credit</t>
  </si>
  <si>
    <t>Mortgage (ends 2016)</t>
  </si>
  <si>
    <t>Total Church Maintenance</t>
  </si>
  <si>
    <t>TOTAL FACILITIES</t>
  </si>
  <si>
    <t>Disbursements</t>
  </si>
  <si>
    <t>Restricted Funds</t>
  </si>
  <si>
    <t>Operating Fund Reserve</t>
  </si>
  <si>
    <t>Facilities Fund</t>
  </si>
  <si>
    <t>Misc Expense</t>
  </si>
  <si>
    <t>Line of Credit Payment</t>
  </si>
  <si>
    <t>Total Restricted Funds</t>
  </si>
  <si>
    <t>TOTAL EXPENSES</t>
  </si>
  <si>
    <t>Income less Expense</t>
  </si>
  <si>
    <t>Nov YTD Budget</t>
  </si>
  <si>
    <t>Nov YTD Actual</t>
  </si>
  <si>
    <t>Sunday School</t>
  </si>
  <si>
    <t>Actual vs Budget</t>
  </si>
  <si>
    <t>2012 Budget vs Prior Year</t>
  </si>
  <si>
    <t>Full Year</t>
  </si>
  <si>
    <t>2011 Year to Date (YTD)</t>
  </si>
  <si>
    <t>2011 Budget</t>
  </si>
  <si>
    <t>2012 Budget vs 2011 Budget</t>
  </si>
  <si>
    <t>2010 Prior Year Actual</t>
  </si>
  <si>
    <t>Lutheran Church of the Resurrection</t>
  </si>
  <si>
    <t>Cradle Roll</t>
  </si>
  <si>
    <t>Parish Secretary (full time)</t>
  </si>
  <si>
    <t>TOTAL PROGRAMS</t>
  </si>
  <si>
    <t>Total Church Membership</t>
  </si>
  <si>
    <t>Sunday Coffee</t>
  </si>
  <si>
    <t>Maintenance Contracts  (Recycle, Carpet, Elevator)</t>
  </si>
  <si>
    <t>NOTES</t>
  </si>
  <si>
    <t>New Program</t>
  </si>
  <si>
    <t>Previously Paid by Donor</t>
  </si>
  <si>
    <t>Was part of Deacons</t>
  </si>
  <si>
    <t>Need to Advertise more</t>
  </si>
  <si>
    <t>ELCA Average</t>
  </si>
  <si>
    <t>Hold at 10%</t>
  </si>
  <si>
    <t>Increase announced</t>
  </si>
  <si>
    <t>Expect Increase</t>
  </si>
  <si>
    <t>Requested $20,000</t>
  </si>
  <si>
    <t>Benevolence</t>
  </si>
  <si>
    <t>10% Benevolence</t>
  </si>
  <si>
    <t>Per Cheryl:  ELC Board of Pensions</t>
  </si>
  <si>
    <t>Current Rate - new hire</t>
  </si>
  <si>
    <t>2011 had 2 people;  2012 should only have one</t>
  </si>
  <si>
    <t>Increased by donors</t>
  </si>
  <si>
    <t>Estimate from Cheryl</t>
  </si>
  <si>
    <t>Church Membership</t>
  </si>
  <si>
    <t>Clearing Account</t>
  </si>
  <si>
    <t>Chaperons for Trips</t>
  </si>
  <si>
    <t>Church Membership Activities</t>
  </si>
  <si>
    <t>Advertising-Media (Newspaper)</t>
  </si>
  <si>
    <t>Must have documentation</t>
  </si>
  <si>
    <t>College Leaders in Christ (YAHOO)</t>
  </si>
  <si>
    <t>Greater hours per week to reflect current trend (average 17 hours/week)</t>
  </si>
  <si>
    <t>Financial Secretary</t>
  </si>
  <si>
    <t>From Cheryl</t>
  </si>
  <si>
    <t>2012 Budget final</t>
  </si>
  <si>
    <t>2011 Budget (first changes from Dec Council</t>
  </si>
  <si>
    <t>Variance %</t>
  </si>
  <si>
    <t>Variance $</t>
  </si>
  <si>
    <t>NOTES on Variances</t>
  </si>
  <si>
    <t>Plugged difference</t>
  </si>
  <si>
    <t>Reduced per Luanne (1/17/12)</t>
  </si>
  <si>
    <t>From Cheryl (1/18/12)</t>
  </si>
  <si>
    <t>No Increase planned per Luanne (1/17/12)</t>
  </si>
  <si>
    <t>Per Cheryl:  based on no increase in salary (1/17/12)</t>
  </si>
  <si>
    <t>Per Cheryl:  reduced to reflect actual average hours</t>
  </si>
  <si>
    <t>2010</t>
  </si>
  <si>
    <t>Nov YTD</t>
  </si>
  <si>
    <t>2011 Actuals</t>
  </si>
  <si>
    <t>Full Year Budget</t>
  </si>
  <si>
    <t>Full Year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</si>
</sst>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7" fontId="0" fillId="0" borderId="0" xfId="2" applyNumberFormat="1" applyFont="1" applyAlignment="1">
      <alignment horizontal="center" vertical="center" wrapText="1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4" fontId="4" fillId="8" borderId="0" xfId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4" fillId="3" borderId="0" xfId="1" applyNumberFormat="1" applyFont="1" applyFill="1" applyAlignment="1">
      <alignment vertical="center"/>
    </xf>
    <xf numFmtId="164" fontId="0" fillId="3" borderId="0" xfId="1" applyNumberFormat="1" applyFont="1" applyFill="1" applyAlignment="1">
      <alignment vertical="center"/>
    </xf>
    <xf numFmtId="164" fontId="3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165" fontId="2" fillId="4" borderId="0" xfId="2" applyNumberFormat="1" applyFont="1" applyFill="1" applyAlignment="1">
      <alignment horizontal="left" vertical="center"/>
    </xf>
    <xf numFmtId="9" fontId="9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wrapText="1"/>
    </xf>
    <xf numFmtId="164" fontId="2" fillId="3" borderId="0" xfId="1" applyNumberFormat="1" applyFont="1" applyFill="1" applyAlignment="1">
      <alignment vertical="center"/>
    </xf>
    <xf numFmtId="164" fontId="9" fillId="0" borderId="0" xfId="1" applyNumberFormat="1" applyFont="1" applyAlignment="1">
      <alignment vertical="center"/>
    </xf>
    <xf numFmtId="164" fontId="2" fillId="2" borderId="0" xfId="1" applyNumberFormat="1" applyFont="1" applyFill="1" applyAlignment="1">
      <alignment horizontal="center" vertical="center"/>
    </xf>
    <xf numFmtId="164" fontId="2" fillId="8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  <xf numFmtId="164" fontId="4" fillId="3" borderId="0" xfId="1" applyNumberFormat="1" applyFont="1" applyFill="1" applyAlignment="1">
      <alignment horizontal="center" vertical="center"/>
    </xf>
    <xf numFmtId="164" fontId="3" fillId="3" borderId="0" xfId="1" applyNumberFormat="1" applyFont="1" applyFill="1" applyAlignment="1">
      <alignment horizontal="center" vertical="center"/>
    </xf>
    <xf numFmtId="9" fontId="9" fillId="0" borderId="0" xfId="2" applyFont="1" applyAlignment="1">
      <alignment horizontal="center" vertical="center"/>
    </xf>
    <xf numFmtId="164" fontId="2" fillId="4" borderId="0" xfId="1" applyNumberFormat="1" applyFont="1" applyFill="1" applyAlignment="1">
      <alignment horizontal="center" vertical="center"/>
    </xf>
    <xf numFmtId="164" fontId="2" fillId="5" borderId="0" xfId="1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left" vertical="center" wrapText="1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" fontId="2" fillId="7" borderId="1" xfId="1" applyNumberFormat="1" applyFont="1" applyFill="1" applyBorder="1" applyAlignment="1">
      <alignment horizontal="center" vertical="center"/>
    </xf>
    <xf numFmtId="1" fontId="2" fillId="7" borderId="2" xfId="1" applyNumberFormat="1" applyFont="1" applyFill="1" applyBorder="1" applyAlignment="1">
      <alignment horizontal="center" vertical="center"/>
    </xf>
    <xf numFmtId="1" fontId="2" fillId="7" borderId="3" xfId="1" applyNumberFormat="1" applyFont="1" applyFill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 wrapText="1"/>
    </xf>
    <xf numFmtId="164" fontId="2" fillId="2" borderId="9" xfId="1" quotePrefix="1" applyNumberFormat="1" applyFont="1" applyFill="1" applyBorder="1" applyAlignment="1">
      <alignment horizontal="center" vertical="center"/>
    </xf>
    <xf numFmtId="164" fontId="2" fillId="2" borderId="10" xfId="1" quotePrefix="1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CCCC00"/>
      <color rgb="FF808000"/>
      <color rgb="FFFFCC66"/>
      <color rgb="FFB8CCE4"/>
      <color rgb="FFFF99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showGridLines="0" workbookViewId="0">
      <selection sqref="A1:M1"/>
    </sheetView>
  </sheetViews>
  <sheetFormatPr defaultRowHeight="15" x14ac:dyDescent="0.25"/>
  <cols>
    <col min="1" max="1" width="4.28515625" style="5" customWidth="1"/>
    <col min="2" max="2" width="9.140625" style="1"/>
    <col min="3" max="3" width="24.7109375" style="1" customWidth="1"/>
    <col min="4" max="6" width="12.140625" style="1" customWidth="1"/>
    <col min="7" max="7" width="12.5703125" style="1" bestFit="1" customWidth="1"/>
    <col min="8" max="8" width="11.85546875" style="8" customWidth="1"/>
    <col min="9" max="9" width="4.5703125" style="1" customWidth="1"/>
    <col min="10" max="10" width="12.5703125" style="1" bestFit="1" customWidth="1"/>
    <col min="11" max="11" width="11.7109375" style="1" customWidth="1"/>
    <col min="12" max="12" width="10" style="8" bestFit="1" customWidth="1"/>
    <col min="13" max="13" width="24.85546875" style="9" customWidth="1"/>
    <col min="14" max="14" width="10" style="1" bestFit="1" customWidth="1"/>
    <col min="15" max="15" width="11.5703125" style="1" bestFit="1" customWidth="1"/>
    <col min="16" max="16384" width="9.140625" style="1"/>
  </cols>
  <sheetData>
    <row r="1" spans="1:13" ht="41.25" customHeight="1" x14ac:dyDescent="0.25">
      <c r="A1" s="72" t="s">
        <v>129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8.25" customHeigh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3.25" customHeight="1" x14ac:dyDescent="0.25">
      <c r="D3" s="69" t="s">
        <v>124</v>
      </c>
      <c r="E3" s="70"/>
      <c r="F3" s="70"/>
      <c r="G3" s="70"/>
      <c r="H3" s="71"/>
      <c r="J3" s="69" t="s">
        <v>125</v>
      </c>
      <c r="K3" s="70"/>
      <c r="L3" s="71"/>
    </row>
    <row r="4" spans="1:13" s="5" customFormat="1" ht="53.25" customHeight="1" x14ac:dyDescent="0.25">
      <c r="D4" s="2" t="s">
        <v>13</v>
      </c>
      <c r="E4" s="3" t="s">
        <v>126</v>
      </c>
      <c r="F4" s="3" t="s">
        <v>127</v>
      </c>
      <c r="G4" s="3" t="s">
        <v>128</v>
      </c>
      <c r="H4" s="4" t="s">
        <v>123</v>
      </c>
      <c r="J4" s="2" t="s">
        <v>120</v>
      </c>
      <c r="K4" s="3" t="s">
        <v>119</v>
      </c>
      <c r="L4" s="4" t="s">
        <v>122</v>
      </c>
      <c r="M4" s="10" t="s">
        <v>136</v>
      </c>
    </row>
    <row r="5" spans="1:13" s="5" customFormat="1" ht="18.75" x14ac:dyDescent="0.25">
      <c r="A5" s="11" t="s">
        <v>0</v>
      </c>
      <c r="D5" s="12"/>
      <c r="E5" s="13"/>
      <c r="F5" s="13"/>
      <c r="G5" s="13"/>
      <c r="H5" s="13"/>
      <c r="J5" s="13"/>
      <c r="K5" s="13"/>
      <c r="L5" s="13"/>
      <c r="M5" s="14"/>
    </row>
    <row r="6" spans="1:13" x14ac:dyDescent="0.25">
      <c r="A6" s="5" t="s">
        <v>1</v>
      </c>
    </row>
    <row r="7" spans="1:13" x14ac:dyDescent="0.25">
      <c r="B7" s="1" t="s">
        <v>1</v>
      </c>
      <c r="D7" s="6">
        <f>557337-6703-670-67-7-1-76-8</f>
        <v>549805</v>
      </c>
      <c r="E7" s="6">
        <v>556300</v>
      </c>
      <c r="F7" s="7">
        <f>IF(E7=0,"NA",(+D7-E7)/E7)</f>
        <v>-1.1675355024267482E-2</v>
      </c>
      <c r="G7" s="6">
        <v>542338</v>
      </c>
      <c r="H7" s="7">
        <f t="shared" ref="H7:H13" si="0">IF(G7=0,"NA",(+D7-G7)/G7)</f>
        <v>1.3768166715221873E-2</v>
      </c>
      <c r="J7" s="6">
        <v>501660.93</v>
      </c>
      <c r="K7" s="6">
        <v>520478.51</v>
      </c>
      <c r="L7" s="7">
        <f t="shared" ref="L7:L13" si="1">IF(K7=0,"NA",(+J7-K7)/K7)</f>
        <v>-3.6154384164679566E-2</v>
      </c>
    </row>
    <row r="8" spans="1:13" x14ac:dyDescent="0.25">
      <c r="B8" s="1" t="s">
        <v>2</v>
      </c>
      <c r="D8" s="6">
        <v>0</v>
      </c>
      <c r="E8" s="6">
        <v>0</v>
      </c>
      <c r="F8" s="7" t="str">
        <f t="shared" ref="F8:F13" si="2">IF(E8=0,"NA",(+D8-E8)/E8)</f>
        <v>NA</v>
      </c>
      <c r="G8" s="6">
        <v>1241</v>
      </c>
      <c r="H8" s="7">
        <f t="shared" si="0"/>
        <v>-1</v>
      </c>
      <c r="J8" s="6">
        <v>0</v>
      </c>
      <c r="K8" s="6">
        <v>0</v>
      </c>
      <c r="L8" s="7" t="str">
        <f t="shared" si="1"/>
        <v>NA</v>
      </c>
    </row>
    <row r="9" spans="1:13" x14ac:dyDescent="0.25">
      <c r="B9" s="1" t="s">
        <v>3</v>
      </c>
      <c r="D9" s="6">
        <v>4000</v>
      </c>
      <c r="E9" s="6">
        <v>4000</v>
      </c>
      <c r="F9" s="7">
        <f t="shared" si="2"/>
        <v>0</v>
      </c>
      <c r="G9" s="6">
        <v>4013</v>
      </c>
      <c r="H9" s="7">
        <f t="shared" si="0"/>
        <v>-3.2394717169200102E-3</v>
      </c>
      <c r="J9" s="6">
        <v>4040.65</v>
      </c>
      <c r="K9" s="6">
        <v>4000</v>
      </c>
      <c r="L9" s="7">
        <f t="shared" si="1"/>
        <v>1.0162500000000022E-2</v>
      </c>
    </row>
    <row r="10" spans="1:13" x14ac:dyDescent="0.25">
      <c r="B10" s="1" t="s">
        <v>4</v>
      </c>
      <c r="D10" s="6">
        <v>1000</v>
      </c>
      <c r="E10" s="6">
        <v>1000</v>
      </c>
      <c r="F10" s="7">
        <f t="shared" si="2"/>
        <v>0</v>
      </c>
      <c r="G10" s="6">
        <v>956</v>
      </c>
      <c r="H10" s="7">
        <f t="shared" si="0"/>
        <v>4.6025104602510462E-2</v>
      </c>
      <c r="J10" s="6">
        <v>793</v>
      </c>
      <c r="K10" s="6">
        <v>1000</v>
      </c>
      <c r="L10" s="7">
        <f t="shared" si="1"/>
        <v>-0.20699999999999999</v>
      </c>
    </row>
    <row r="11" spans="1:13" x14ac:dyDescent="0.25">
      <c r="B11" s="1" t="s">
        <v>5</v>
      </c>
      <c r="D11" s="6">
        <v>5000</v>
      </c>
      <c r="E11" s="6">
        <v>5000</v>
      </c>
      <c r="F11" s="7">
        <f t="shared" si="2"/>
        <v>0</v>
      </c>
      <c r="G11" s="6">
        <v>6111</v>
      </c>
      <c r="H11" s="7">
        <f t="shared" si="0"/>
        <v>-0.18180330551464571</v>
      </c>
      <c r="J11" s="6">
        <v>0</v>
      </c>
      <c r="K11" s="6">
        <v>0</v>
      </c>
      <c r="L11" s="7" t="str">
        <f t="shared" si="1"/>
        <v>NA</v>
      </c>
    </row>
    <row r="12" spans="1:13" x14ac:dyDescent="0.25">
      <c r="B12" s="1" t="s">
        <v>6</v>
      </c>
      <c r="D12" s="6">
        <v>2700</v>
      </c>
      <c r="E12" s="6">
        <v>2700</v>
      </c>
      <c r="F12" s="7">
        <f t="shared" si="2"/>
        <v>0</v>
      </c>
      <c r="G12" s="6">
        <v>2716</v>
      </c>
      <c r="H12" s="7">
        <f t="shared" si="0"/>
        <v>-5.8910162002945507E-3</v>
      </c>
      <c r="J12" s="6">
        <v>2409.36</v>
      </c>
      <c r="K12" s="6">
        <v>2700</v>
      </c>
      <c r="L12" s="7">
        <f t="shared" si="1"/>
        <v>-0.1076444444444444</v>
      </c>
    </row>
    <row r="13" spans="1:13" x14ac:dyDescent="0.25">
      <c r="A13" s="15" t="s">
        <v>7</v>
      </c>
      <c r="B13" s="15"/>
      <c r="C13" s="15"/>
      <c r="D13" s="15">
        <f>SUM(D7:D12)</f>
        <v>562505</v>
      </c>
      <c r="E13" s="15">
        <f>SUM(E7:E12)</f>
        <v>569000</v>
      </c>
      <c r="F13" s="16">
        <f t="shared" si="2"/>
        <v>-1.1414762741652021E-2</v>
      </c>
      <c r="G13" s="15">
        <f>SUM(G7:G12)</f>
        <v>557375</v>
      </c>
      <c r="H13" s="16">
        <f t="shared" si="0"/>
        <v>9.2038573671226736E-3</v>
      </c>
      <c r="J13" s="15">
        <f>SUM(J7:J12)</f>
        <v>508903.94</v>
      </c>
      <c r="K13" s="15">
        <f>SUM(K7:K12)</f>
        <v>528178.51</v>
      </c>
      <c r="L13" s="16">
        <f t="shared" si="1"/>
        <v>-3.649252976990678E-2</v>
      </c>
    </row>
    <row r="14" spans="1:13" ht="5.25" customHeight="1" x14ac:dyDescent="0.25">
      <c r="F14" s="8"/>
    </row>
    <row r="15" spans="1:13" x14ac:dyDescent="0.25">
      <c r="A15" s="5" t="s">
        <v>8</v>
      </c>
      <c r="F15" s="8"/>
    </row>
    <row r="16" spans="1:13" x14ac:dyDescent="0.25">
      <c r="B16" s="1" t="s">
        <v>9</v>
      </c>
      <c r="D16" s="6">
        <v>10000</v>
      </c>
      <c r="E16" s="6">
        <v>10000</v>
      </c>
      <c r="F16" s="7">
        <f t="shared" ref="F16:F22" si="3">IF(E16=0,"NA",(+D16-E16)/E16)</f>
        <v>0</v>
      </c>
      <c r="G16" s="6">
        <v>10734</v>
      </c>
      <c r="H16" s="7">
        <f t="shared" ref="H16:H22" si="4">IF(G16=0,"NA",(+D16-G16)/G16)</f>
        <v>-6.8380845910191917E-2</v>
      </c>
      <c r="J16" s="6">
        <v>8808.06</v>
      </c>
      <c r="K16" s="6">
        <v>9166.6299999999992</v>
      </c>
      <c r="L16" s="7">
        <f t="shared" ref="L16:L22" si="5">IF(K16=0,"NA",(+J16-K16)/K16)</f>
        <v>-3.9116883740262204E-2</v>
      </c>
      <c r="M16" s="17"/>
    </row>
    <row r="17" spans="1:13" x14ac:dyDescent="0.25">
      <c r="B17" s="1" t="s">
        <v>8</v>
      </c>
      <c r="D17" s="6">
        <v>0</v>
      </c>
      <c r="E17" s="6">
        <v>0</v>
      </c>
      <c r="F17" s="7" t="str">
        <f t="shared" si="3"/>
        <v>NA</v>
      </c>
      <c r="G17" s="6">
        <v>2135</v>
      </c>
      <c r="H17" s="7">
        <f t="shared" si="4"/>
        <v>-1</v>
      </c>
      <c r="J17" s="6">
        <v>14335.91</v>
      </c>
      <c r="K17" s="6">
        <v>0</v>
      </c>
      <c r="L17" s="7" t="str">
        <f t="shared" si="5"/>
        <v>NA</v>
      </c>
    </row>
    <row r="18" spans="1:13" x14ac:dyDescent="0.25">
      <c r="B18" s="1" t="s">
        <v>10</v>
      </c>
      <c r="D18" s="6">
        <v>0</v>
      </c>
      <c r="E18" s="6">
        <v>0</v>
      </c>
      <c r="F18" s="7" t="str">
        <f t="shared" si="3"/>
        <v>NA</v>
      </c>
      <c r="G18" s="6"/>
      <c r="H18" s="7" t="str">
        <f t="shared" si="4"/>
        <v>NA</v>
      </c>
      <c r="J18" s="6">
        <v>699</v>
      </c>
      <c r="K18" s="6">
        <v>0</v>
      </c>
      <c r="L18" s="7" t="str">
        <f t="shared" si="5"/>
        <v>NA</v>
      </c>
    </row>
    <row r="19" spans="1:13" x14ac:dyDescent="0.25">
      <c r="B19" s="1" t="s">
        <v>12</v>
      </c>
      <c r="D19" s="6"/>
      <c r="E19" s="6"/>
      <c r="F19" s="7" t="str">
        <f t="shared" si="3"/>
        <v>NA</v>
      </c>
      <c r="G19" s="6">
        <v>8</v>
      </c>
      <c r="H19" s="7">
        <f t="shared" si="4"/>
        <v>-1</v>
      </c>
      <c r="J19" s="6">
        <v>16.45</v>
      </c>
      <c r="K19" s="6">
        <v>0</v>
      </c>
      <c r="L19" s="7" t="str">
        <f t="shared" si="5"/>
        <v>NA</v>
      </c>
    </row>
    <row r="20" spans="1:13" x14ac:dyDescent="0.25">
      <c r="B20" s="1" t="s">
        <v>154</v>
      </c>
      <c r="D20" s="6">
        <v>0</v>
      </c>
      <c r="E20" s="6">
        <v>0</v>
      </c>
      <c r="F20" s="7" t="str">
        <f t="shared" si="3"/>
        <v>NA</v>
      </c>
      <c r="G20" s="6">
        <v>0</v>
      </c>
      <c r="H20" s="7" t="str">
        <f t="shared" si="4"/>
        <v>NA</v>
      </c>
      <c r="J20" s="6">
        <v>802.52</v>
      </c>
      <c r="K20" s="6">
        <v>0</v>
      </c>
      <c r="L20" s="7" t="str">
        <f t="shared" si="5"/>
        <v>NA</v>
      </c>
    </row>
    <row r="21" spans="1:13" x14ac:dyDescent="0.25">
      <c r="A21" s="15" t="s">
        <v>11</v>
      </c>
      <c r="B21" s="15"/>
      <c r="C21" s="15"/>
      <c r="D21" s="15">
        <f>SUM(D16:D20)</f>
        <v>10000</v>
      </c>
      <c r="E21" s="15">
        <f>SUM(E16:E20)</f>
        <v>10000</v>
      </c>
      <c r="F21" s="16">
        <f t="shared" si="3"/>
        <v>0</v>
      </c>
      <c r="G21" s="15">
        <f t="shared" ref="G21" si="6">SUM(G16:G20)</f>
        <v>12877</v>
      </c>
      <c r="H21" s="16">
        <f t="shared" si="4"/>
        <v>-0.22342160441096529</v>
      </c>
      <c r="J21" s="15">
        <f t="shared" ref="J21:K21" si="7">SUM(J16:J20)</f>
        <v>24661.940000000002</v>
      </c>
      <c r="K21" s="15">
        <f t="shared" si="7"/>
        <v>9166.6299999999992</v>
      </c>
      <c r="L21" s="16">
        <f t="shared" si="5"/>
        <v>1.6904042161623196</v>
      </c>
    </row>
    <row r="22" spans="1:13" x14ac:dyDescent="0.25">
      <c r="A22" s="15" t="s">
        <v>14</v>
      </c>
      <c r="B22" s="15"/>
      <c r="C22" s="15"/>
      <c r="D22" s="15">
        <f>+D13+D21</f>
        <v>572505</v>
      </c>
      <c r="E22" s="15">
        <f>+E13+E21</f>
        <v>579000</v>
      </c>
      <c r="F22" s="16">
        <f t="shared" si="3"/>
        <v>-1.1217616580310881E-2</v>
      </c>
      <c r="G22" s="15">
        <f t="shared" ref="G22" si="8">+G13+G21</f>
        <v>570252</v>
      </c>
      <c r="H22" s="16">
        <f t="shared" si="4"/>
        <v>3.9508848719513479E-3</v>
      </c>
      <c r="J22" s="15">
        <f t="shared" ref="J22:K22" si="9">+J13+J21</f>
        <v>533565.88</v>
      </c>
      <c r="K22" s="15">
        <f t="shared" si="9"/>
        <v>537345.14</v>
      </c>
      <c r="L22" s="16">
        <f t="shared" si="5"/>
        <v>-7.0332077442814668E-3</v>
      </c>
    </row>
    <row r="23" spans="1:13" ht="6" customHeight="1" x14ac:dyDescent="0.25">
      <c r="F23" s="8"/>
    </row>
    <row r="24" spans="1:13" ht="18.75" x14ac:dyDescent="0.25">
      <c r="A24" s="11" t="s">
        <v>15</v>
      </c>
      <c r="F24" s="8"/>
    </row>
    <row r="25" spans="1:13" ht="18.75" x14ac:dyDescent="0.25">
      <c r="A25" s="11" t="s">
        <v>146</v>
      </c>
      <c r="F25" s="8"/>
    </row>
    <row r="26" spans="1:13" x14ac:dyDescent="0.25">
      <c r="B26" s="1" t="s">
        <v>17</v>
      </c>
      <c r="D26" s="1">
        <f>+D22</f>
        <v>572505</v>
      </c>
      <c r="F26" s="8"/>
    </row>
    <row r="27" spans="1:13" x14ac:dyDescent="0.25">
      <c r="B27" s="1" t="s">
        <v>16</v>
      </c>
      <c r="D27" s="6">
        <v>-54900</v>
      </c>
      <c r="E27" s="6"/>
      <c r="F27" s="8"/>
      <c r="M27" s="9" t="s">
        <v>162</v>
      </c>
    </row>
    <row r="28" spans="1:13" x14ac:dyDescent="0.25">
      <c r="B28" s="1" t="s">
        <v>18</v>
      </c>
      <c r="D28" s="6">
        <v>-5000</v>
      </c>
      <c r="E28" s="6"/>
      <c r="F28" s="8"/>
      <c r="M28" s="46" t="s">
        <v>162</v>
      </c>
    </row>
    <row r="29" spans="1:13" x14ac:dyDescent="0.25">
      <c r="B29" s="1" t="s">
        <v>19</v>
      </c>
      <c r="D29" s="6">
        <v>-1400</v>
      </c>
      <c r="E29" s="6"/>
      <c r="F29" s="8"/>
      <c r="M29" s="46" t="s">
        <v>162</v>
      </c>
    </row>
    <row r="30" spans="1:13" x14ac:dyDescent="0.25">
      <c r="B30" s="1" t="s">
        <v>17</v>
      </c>
      <c r="D30" s="1">
        <f>SUM(D26:D29)</f>
        <v>511205</v>
      </c>
      <c r="F30" s="8"/>
    </row>
    <row r="31" spans="1:13" s="5" customFormat="1" x14ac:dyDescent="0.25">
      <c r="A31" s="18"/>
      <c r="B31" s="19" t="s">
        <v>147</v>
      </c>
      <c r="C31" s="18"/>
      <c r="D31" s="18">
        <f>ROUND(+D30*0.1,0)</f>
        <v>51121</v>
      </c>
      <c r="E31" s="20">
        <v>51750</v>
      </c>
      <c r="F31" s="21">
        <f>IF(E31=0,"NA",(+D31-E31)/E31)</f>
        <v>-1.2154589371980676E-2</v>
      </c>
      <c r="G31" s="20">
        <v>51179</v>
      </c>
      <c r="H31" s="21">
        <f>IF(G31=0,"NA",(+D31-G31)/G31)</f>
        <v>-1.1332773207760995E-3</v>
      </c>
      <c r="I31" s="18"/>
      <c r="J31" s="20">
        <v>43119.13</v>
      </c>
      <c r="K31" s="20">
        <v>44578.26</v>
      </c>
      <c r="L31" s="21">
        <f>IF(K31=0,"NA",(+J31-K31)/K31)</f>
        <v>-3.2731874236455273E-2</v>
      </c>
      <c r="M31" s="14" t="s">
        <v>142</v>
      </c>
    </row>
    <row r="32" spans="1:13" s="5" customFormat="1" ht="6.75" customHeight="1" x14ac:dyDescent="0.25">
      <c r="A32" s="22"/>
      <c r="B32" s="23"/>
      <c r="C32" s="22"/>
      <c r="D32" s="22"/>
      <c r="E32" s="24"/>
      <c r="F32" s="25"/>
      <c r="G32" s="24"/>
      <c r="H32" s="25"/>
      <c r="I32" s="22"/>
      <c r="J32" s="24"/>
      <c r="K32" s="24"/>
      <c r="L32" s="25"/>
      <c r="M32" s="14"/>
    </row>
    <row r="33" spans="1:13" s="5" customFormat="1" ht="18.75" x14ac:dyDescent="0.25">
      <c r="A33" s="26" t="s">
        <v>91</v>
      </c>
      <c r="B33" s="23"/>
      <c r="C33" s="22"/>
      <c r="D33" s="22"/>
      <c r="E33" s="24"/>
      <c r="F33" s="25"/>
      <c r="G33" s="24"/>
      <c r="H33" s="25"/>
      <c r="I33" s="22"/>
      <c r="J33" s="24"/>
      <c r="K33" s="24"/>
      <c r="L33" s="25"/>
      <c r="M33" s="14"/>
    </row>
    <row r="34" spans="1:13" x14ac:dyDescent="0.25">
      <c r="A34" s="5" t="s">
        <v>20</v>
      </c>
      <c r="F34" s="8"/>
    </row>
    <row r="35" spans="1:13" x14ac:dyDescent="0.25">
      <c r="B35" s="1" t="s">
        <v>121</v>
      </c>
      <c r="D35" s="6">
        <v>4000</v>
      </c>
      <c r="E35" s="6">
        <v>4000</v>
      </c>
      <c r="F35" s="7">
        <f t="shared" ref="F35:F41" si="10">IF(E35=0,"NA",(+D35-E35)/E35)</f>
        <v>0</v>
      </c>
      <c r="G35" s="6">
        <v>4256</v>
      </c>
      <c r="H35" s="7">
        <f t="shared" ref="H35:H41" si="11">IF(G35=0,"NA",(+D35-G35)/G35)</f>
        <v>-6.0150375939849621E-2</v>
      </c>
      <c r="J35" s="6">
        <v>4281.58</v>
      </c>
      <c r="K35" s="6">
        <v>3666.63</v>
      </c>
      <c r="L35" s="7">
        <f t="shared" ref="L35:L41" si="12">IF(K35=0,"NA",(+J35-K35)/K35)</f>
        <v>0.16771531351677146</v>
      </c>
    </row>
    <row r="36" spans="1:13" x14ac:dyDescent="0.25">
      <c r="B36" s="1" t="s">
        <v>21</v>
      </c>
      <c r="D36" s="6">
        <v>750</v>
      </c>
      <c r="E36" s="6">
        <v>1000</v>
      </c>
      <c r="F36" s="7">
        <f t="shared" si="10"/>
        <v>-0.25</v>
      </c>
      <c r="G36" s="6">
        <v>2277</v>
      </c>
      <c r="H36" s="7">
        <f t="shared" si="11"/>
        <v>-0.67061923583662719</v>
      </c>
      <c r="J36" s="6">
        <v>1387.7</v>
      </c>
      <c r="K36" s="6">
        <v>916.63</v>
      </c>
      <c r="L36" s="7">
        <f t="shared" si="12"/>
        <v>0.51391510205862789</v>
      </c>
    </row>
    <row r="37" spans="1:13" x14ac:dyDescent="0.25">
      <c r="B37" s="1" t="s">
        <v>22</v>
      </c>
      <c r="D37" s="6">
        <v>750</v>
      </c>
      <c r="E37" s="6">
        <v>1500</v>
      </c>
      <c r="F37" s="7">
        <f t="shared" si="10"/>
        <v>-0.5</v>
      </c>
      <c r="G37" s="6">
        <v>1278</v>
      </c>
      <c r="H37" s="7">
        <f t="shared" si="11"/>
        <v>-0.41314553990610331</v>
      </c>
      <c r="J37" s="6">
        <v>721.94</v>
      </c>
      <c r="K37" s="6">
        <v>1375</v>
      </c>
      <c r="L37" s="7">
        <f t="shared" si="12"/>
        <v>-0.47495272727272725</v>
      </c>
    </row>
    <row r="38" spans="1:13" x14ac:dyDescent="0.25">
      <c r="B38" s="1" t="s">
        <v>23</v>
      </c>
      <c r="D38" s="6">
        <v>500</v>
      </c>
      <c r="E38" s="6">
        <v>700</v>
      </c>
      <c r="F38" s="7">
        <f t="shared" si="10"/>
        <v>-0.2857142857142857</v>
      </c>
      <c r="G38" s="6">
        <v>773</v>
      </c>
      <c r="H38" s="7">
        <f t="shared" si="11"/>
        <v>-0.35316946959896506</v>
      </c>
      <c r="J38" s="6">
        <v>0</v>
      </c>
      <c r="K38" s="6">
        <v>641.63</v>
      </c>
      <c r="L38" s="7">
        <f t="shared" si="12"/>
        <v>-1</v>
      </c>
    </row>
    <row r="39" spans="1:13" x14ac:dyDescent="0.25">
      <c r="B39" s="1" t="s">
        <v>24</v>
      </c>
      <c r="D39" s="6">
        <v>200</v>
      </c>
      <c r="E39" s="6">
        <v>250</v>
      </c>
      <c r="F39" s="7">
        <f t="shared" si="10"/>
        <v>-0.2</v>
      </c>
      <c r="G39" s="6">
        <v>259</v>
      </c>
      <c r="H39" s="7">
        <f t="shared" si="11"/>
        <v>-0.22779922779922779</v>
      </c>
      <c r="J39" s="6">
        <v>142.77000000000001</v>
      </c>
      <c r="K39" s="6">
        <v>250</v>
      </c>
      <c r="L39" s="7">
        <f t="shared" si="12"/>
        <v>-0.42891999999999997</v>
      </c>
    </row>
    <row r="40" spans="1:13" x14ac:dyDescent="0.25">
      <c r="B40" s="1" t="s">
        <v>130</v>
      </c>
      <c r="D40" s="6">
        <v>1000</v>
      </c>
      <c r="E40" s="6">
        <v>1000</v>
      </c>
      <c r="F40" s="7">
        <f t="shared" si="10"/>
        <v>0</v>
      </c>
      <c r="G40" s="6">
        <v>459</v>
      </c>
      <c r="H40" s="7">
        <f t="shared" si="11"/>
        <v>1.1786492374727668</v>
      </c>
      <c r="J40" s="6">
        <v>866.87</v>
      </c>
      <c r="K40" s="6">
        <v>916.63</v>
      </c>
      <c r="L40" s="7">
        <f t="shared" si="12"/>
        <v>-5.4285807795948195E-2</v>
      </c>
    </row>
    <row r="41" spans="1:13" s="5" customFormat="1" x14ac:dyDescent="0.25">
      <c r="A41" s="27" t="s">
        <v>25</v>
      </c>
      <c r="B41" s="27"/>
      <c r="C41" s="27"/>
      <c r="D41" s="27">
        <f>SUM(D35:D40)</f>
        <v>7200</v>
      </c>
      <c r="E41" s="27">
        <f>SUM(E35:E40)</f>
        <v>8450</v>
      </c>
      <c r="F41" s="28">
        <f t="shared" si="10"/>
        <v>-0.14792899408284024</v>
      </c>
      <c r="G41" s="27">
        <f t="shared" ref="G41" si="13">SUM(G35:G40)</f>
        <v>9302</v>
      </c>
      <c r="H41" s="28">
        <f t="shared" si="11"/>
        <v>-0.2259729090518168</v>
      </c>
      <c r="J41" s="27">
        <f t="shared" ref="J41:K41" si="14">SUM(J35:J40)</f>
        <v>7400.86</v>
      </c>
      <c r="K41" s="27">
        <f t="shared" si="14"/>
        <v>7766.52</v>
      </c>
      <c r="L41" s="28">
        <f t="shared" si="12"/>
        <v>-4.7081575789414146E-2</v>
      </c>
      <c r="M41" s="14"/>
    </row>
    <row r="42" spans="1:13" ht="6" customHeight="1" x14ac:dyDescent="0.25">
      <c r="F42" s="8"/>
    </row>
    <row r="43" spans="1:13" x14ac:dyDescent="0.25">
      <c r="A43" s="27" t="s">
        <v>26</v>
      </c>
      <c r="B43" s="27"/>
      <c r="C43" s="27"/>
      <c r="D43" s="29">
        <v>1100</v>
      </c>
      <c r="E43" s="29">
        <v>2200</v>
      </c>
      <c r="F43" s="28">
        <f>IF(E43=0,"NA",(+D43-E43)/E43)</f>
        <v>-0.5</v>
      </c>
      <c r="G43" s="29">
        <v>0</v>
      </c>
      <c r="H43" s="28" t="str">
        <f>IF(G43=0,"NA",(+D43-G43)/G43)</f>
        <v>NA</v>
      </c>
      <c r="J43" s="29">
        <v>1375.37</v>
      </c>
      <c r="K43" s="29">
        <v>2016.63</v>
      </c>
      <c r="L43" s="28">
        <f>IF(K43=0,"NA",(+J43-K43)/K43)</f>
        <v>-0.31798594685192633</v>
      </c>
    </row>
    <row r="44" spans="1:13" ht="7.5" customHeight="1" x14ac:dyDescent="0.25">
      <c r="F44" s="8"/>
    </row>
    <row r="45" spans="1:13" x14ac:dyDescent="0.25">
      <c r="A45" s="5" t="s">
        <v>27</v>
      </c>
      <c r="F45" s="8"/>
    </row>
    <row r="46" spans="1:13" x14ac:dyDescent="0.25">
      <c r="B46" s="1" t="s">
        <v>29</v>
      </c>
      <c r="D46" s="6">
        <v>4000</v>
      </c>
      <c r="E46" s="6">
        <v>6000</v>
      </c>
      <c r="F46" s="7">
        <f t="shared" ref="F46:F50" si="15">IF(E46=0,"NA",(+D46-E46)/E46)</f>
        <v>-0.33333333333333331</v>
      </c>
      <c r="G46" s="6">
        <v>7075</v>
      </c>
      <c r="H46" s="7">
        <f>IF(G46=0,"NA",(+D46-G46)/G46)</f>
        <v>-0.43462897526501765</v>
      </c>
      <c r="J46" s="6">
        <v>6434.99</v>
      </c>
      <c r="K46" s="6">
        <v>5500</v>
      </c>
      <c r="L46" s="7">
        <f>IF(K46=0,"NA",(+J46-K46)/K46)</f>
        <v>0.16999818181818177</v>
      </c>
    </row>
    <row r="47" spans="1:13" x14ac:dyDescent="0.25">
      <c r="B47" s="1" t="s">
        <v>30</v>
      </c>
      <c r="D47" s="6">
        <f>ROUND(52*50,0)</f>
        <v>2600</v>
      </c>
      <c r="E47" s="6">
        <v>0</v>
      </c>
      <c r="F47" s="7" t="str">
        <f t="shared" si="15"/>
        <v>NA</v>
      </c>
      <c r="G47" s="6">
        <v>0</v>
      </c>
      <c r="H47" s="7" t="str">
        <f>IF(G47=0,"NA",(+D47-G47)/G47)</f>
        <v>NA</v>
      </c>
      <c r="J47" s="6">
        <v>0</v>
      </c>
      <c r="K47" s="6">
        <v>0</v>
      </c>
      <c r="L47" s="7" t="str">
        <f>IF(K47=0,"NA",(+J47-K47)/K47)</f>
        <v>NA</v>
      </c>
      <c r="M47" s="9" t="s">
        <v>138</v>
      </c>
    </row>
    <row r="48" spans="1:13" x14ac:dyDescent="0.25">
      <c r="B48" s="1" t="s">
        <v>31</v>
      </c>
      <c r="D48" s="6">
        <v>1200</v>
      </c>
      <c r="E48" s="6">
        <v>0</v>
      </c>
      <c r="F48" s="7" t="str">
        <f t="shared" si="15"/>
        <v>NA</v>
      </c>
      <c r="G48" s="6">
        <v>0</v>
      </c>
      <c r="H48" s="7" t="str">
        <f>IF(G48=0,"NA",(+D48-G48)/G48)</f>
        <v>NA</v>
      </c>
      <c r="J48" s="6">
        <v>0</v>
      </c>
      <c r="K48" s="6">
        <v>0</v>
      </c>
      <c r="L48" s="7" t="str">
        <f>IF(K48=0,"NA",(+J48-K48)/K48)</f>
        <v>NA</v>
      </c>
    </row>
    <row r="49" spans="1:13" x14ac:dyDescent="0.25">
      <c r="B49" s="1" t="s">
        <v>32</v>
      </c>
      <c r="D49" s="6">
        <v>300</v>
      </c>
      <c r="E49" s="6">
        <v>700</v>
      </c>
      <c r="F49" s="7">
        <f t="shared" si="15"/>
        <v>-0.5714285714285714</v>
      </c>
      <c r="G49" s="6">
        <v>1051</v>
      </c>
      <c r="H49" s="7">
        <f>IF(G49=0,"NA",(+D49-G49)/G49)</f>
        <v>-0.71455756422454808</v>
      </c>
      <c r="J49" s="6">
        <v>1048</v>
      </c>
      <c r="K49" s="6">
        <v>641.63</v>
      </c>
      <c r="L49" s="7">
        <f>IF(K49=0,"NA",(+J49-K49)/K49)</f>
        <v>0.63334008696600841</v>
      </c>
      <c r="M49" s="9" t="s">
        <v>140</v>
      </c>
    </row>
    <row r="50" spans="1:13" s="5" customFormat="1" x14ac:dyDescent="0.25">
      <c r="A50" s="27" t="s">
        <v>28</v>
      </c>
      <c r="B50" s="27"/>
      <c r="C50" s="27"/>
      <c r="D50" s="27">
        <f>SUM(D46:D49)</f>
        <v>8100</v>
      </c>
      <c r="E50" s="27">
        <f>SUM(E46:E49)</f>
        <v>6700</v>
      </c>
      <c r="F50" s="28">
        <f t="shared" si="15"/>
        <v>0.20895522388059701</v>
      </c>
      <c r="G50" s="27">
        <f>SUM(G46:G49)</f>
        <v>8126</v>
      </c>
      <c r="H50" s="28">
        <f>IF(G50=0,"NA",(+D50-G50)/G50)</f>
        <v>-3.1996062023135615E-3</v>
      </c>
      <c r="J50" s="27">
        <f>SUM(J46:J49)</f>
        <v>7482.99</v>
      </c>
      <c r="K50" s="27">
        <f>SUM(K46:K49)</f>
        <v>6141.63</v>
      </c>
      <c r="L50" s="28">
        <f>IF(K50=0,"NA",(+J50-K50)/K50)</f>
        <v>0.21840456035287042</v>
      </c>
      <c r="M50" s="14"/>
    </row>
    <row r="51" spans="1:13" ht="6.75" customHeight="1" x14ac:dyDescent="0.25">
      <c r="F51" s="8"/>
    </row>
    <row r="52" spans="1:13" x14ac:dyDescent="0.25">
      <c r="A52" s="5" t="s">
        <v>33</v>
      </c>
      <c r="F52" s="8"/>
    </row>
    <row r="53" spans="1:13" x14ac:dyDescent="0.25">
      <c r="B53" s="1" t="s">
        <v>34</v>
      </c>
      <c r="D53" s="6">
        <v>5000</v>
      </c>
      <c r="E53" s="6">
        <v>6000</v>
      </c>
      <c r="F53" s="7">
        <f t="shared" ref="F53:F56" si="16">IF(E53=0,"NA",(+D53-E53)/E53)</f>
        <v>-0.16666666666666666</v>
      </c>
      <c r="G53" s="6">
        <v>5311</v>
      </c>
      <c r="H53" s="7">
        <f>IF(G53=0,"NA",(+D53-G53)/G53)</f>
        <v>-5.8557710412351721E-2</v>
      </c>
      <c r="J53" s="6">
        <v>5453.9</v>
      </c>
      <c r="K53" s="6">
        <v>5500</v>
      </c>
      <c r="L53" s="7">
        <f>IF(K53=0,"NA",(+J53-K53)/K53)</f>
        <v>-8.3818181818182472E-3</v>
      </c>
    </row>
    <row r="54" spans="1:13" x14ac:dyDescent="0.25">
      <c r="B54" s="1" t="s">
        <v>155</v>
      </c>
      <c r="D54" s="6">
        <v>2000</v>
      </c>
      <c r="E54" s="6">
        <v>0</v>
      </c>
      <c r="F54" s="7" t="str">
        <f t="shared" si="16"/>
        <v>NA</v>
      </c>
      <c r="G54" s="6">
        <v>0</v>
      </c>
      <c r="H54" s="7" t="str">
        <f>IF(G54=0,"NA",(+D54-G54)/G54)</f>
        <v>NA</v>
      </c>
      <c r="J54" s="6">
        <v>0</v>
      </c>
      <c r="K54" s="6">
        <v>0</v>
      </c>
      <c r="L54" s="7" t="str">
        <f>IF(K54=0,"NA",(+J54-K54)/K54)</f>
        <v>NA</v>
      </c>
    </row>
    <row r="55" spans="1:13" x14ac:dyDescent="0.25">
      <c r="B55" s="1" t="s">
        <v>159</v>
      </c>
      <c r="D55" s="6">
        <v>0</v>
      </c>
      <c r="E55" s="6">
        <v>0</v>
      </c>
      <c r="F55" s="7" t="str">
        <f t="shared" si="16"/>
        <v>NA</v>
      </c>
      <c r="G55" s="6">
        <v>0</v>
      </c>
      <c r="H55" s="7" t="str">
        <f>IF(G55=0,"NA",(+D55-G55)/G55)</f>
        <v>NA</v>
      </c>
      <c r="J55" s="6">
        <v>0</v>
      </c>
      <c r="K55" s="6">
        <v>0</v>
      </c>
      <c r="L55" s="7" t="str">
        <f>IF(K55=0,"NA",(+J55-K55)/K55)</f>
        <v>NA</v>
      </c>
      <c r="M55" s="9" t="s">
        <v>137</v>
      </c>
    </row>
    <row r="56" spans="1:13" s="5" customFormat="1" x14ac:dyDescent="0.25">
      <c r="A56" s="27" t="s">
        <v>35</v>
      </c>
      <c r="B56" s="27"/>
      <c r="C56" s="27"/>
      <c r="D56" s="27">
        <f>SUM(D53:D55)</f>
        <v>7000</v>
      </c>
      <c r="E56" s="27">
        <f>SUM(E53:E55)</f>
        <v>6000</v>
      </c>
      <c r="F56" s="28">
        <f t="shared" si="16"/>
        <v>0.16666666666666666</v>
      </c>
      <c r="G56" s="27">
        <f>SUM(G53:G55)</f>
        <v>5311</v>
      </c>
      <c r="H56" s="28">
        <f>IF(G56=0,"NA",(+D56-G56)/G56)</f>
        <v>0.31801920542270756</v>
      </c>
      <c r="J56" s="27">
        <f>SUM(J53:J55)</f>
        <v>5453.9</v>
      </c>
      <c r="K56" s="27">
        <f>SUM(K53:K55)</f>
        <v>5500</v>
      </c>
      <c r="L56" s="28">
        <f>IF(K56=0,"NA",(+J56-K56)/K56)</f>
        <v>-8.3818181818182472E-3</v>
      </c>
      <c r="M56" s="14"/>
    </row>
    <row r="57" spans="1:13" ht="6.75" customHeight="1" x14ac:dyDescent="0.25">
      <c r="F57" s="8"/>
    </row>
    <row r="58" spans="1:13" x14ac:dyDescent="0.25">
      <c r="A58" s="5" t="s">
        <v>153</v>
      </c>
      <c r="F58" s="8"/>
    </row>
    <row r="59" spans="1:13" x14ac:dyDescent="0.25">
      <c r="B59" s="1" t="s">
        <v>156</v>
      </c>
      <c r="D59" s="6">
        <v>300</v>
      </c>
      <c r="E59" s="6">
        <v>250</v>
      </c>
      <c r="F59" s="7">
        <f t="shared" ref="F59:F61" si="17">IF(E59=0,"NA",(+D59-E59)/E59)</f>
        <v>0.2</v>
      </c>
      <c r="G59" s="6">
        <v>-366</v>
      </c>
      <c r="H59" s="7">
        <f>IF(G59=0,"NA",(+D59-G59)/G59)</f>
        <v>-1.819672131147541</v>
      </c>
      <c r="J59" s="6">
        <v>70</v>
      </c>
      <c r="K59" s="6">
        <v>229</v>
      </c>
      <c r="L59" s="7">
        <f>IF(K59=0,"NA",(+J59-K59)/K59)</f>
        <v>-0.69432314410480345</v>
      </c>
    </row>
    <row r="60" spans="1:13" x14ac:dyDescent="0.25">
      <c r="B60" s="1" t="s">
        <v>134</v>
      </c>
      <c r="D60" s="6">
        <v>500</v>
      </c>
      <c r="E60" s="6">
        <v>0</v>
      </c>
      <c r="F60" s="7" t="str">
        <f t="shared" si="17"/>
        <v>NA</v>
      </c>
      <c r="G60" s="6">
        <v>0</v>
      </c>
      <c r="H60" s="7" t="str">
        <f>IF(G60=0,"NA",(+D60-G60)/G60)</f>
        <v>NA</v>
      </c>
      <c r="J60" s="6">
        <v>0</v>
      </c>
      <c r="K60" s="6">
        <v>0</v>
      </c>
      <c r="L60" s="7" t="str">
        <f>IF(K60=0,"NA",(+J60-K60)/K60)</f>
        <v>NA</v>
      </c>
      <c r="M60" s="9" t="s">
        <v>139</v>
      </c>
    </row>
    <row r="61" spans="1:13" s="5" customFormat="1" x14ac:dyDescent="0.25">
      <c r="A61" s="27" t="s">
        <v>133</v>
      </c>
      <c r="B61" s="27"/>
      <c r="C61" s="27"/>
      <c r="D61" s="27">
        <f>SUM(D59:D60)</f>
        <v>800</v>
      </c>
      <c r="E61" s="27">
        <f>SUM(E59:E60)</f>
        <v>250</v>
      </c>
      <c r="F61" s="28">
        <f t="shared" si="17"/>
        <v>2.2000000000000002</v>
      </c>
      <c r="G61" s="27">
        <f>SUM(G59:G60)</f>
        <v>-366</v>
      </c>
      <c r="H61" s="28">
        <f>IF(G61=0,"NA",(+D61-G61)/G61)</f>
        <v>-3.1857923497267762</v>
      </c>
      <c r="J61" s="27">
        <f>SUM(J59:J60)</f>
        <v>70</v>
      </c>
      <c r="K61" s="27">
        <f>SUM(K59:K60)</f>
        <v>229</v>
      </c>
      <c r="L61" s="28">
        <f>IF(K61=0,"NA",(+J61-K61)/K61)</f>
        <v>-0.69432314410480345</v>
      </c>
      <c r="M61" s="14"/>
    </row>
    <row r="62" spans="1:13" ht="5.25" customHeight="1" x14ac:dyDescent="0.25">
      <c r="F62" s="8"/>
    </row>
    <row r="63" spans="1:13" x14ac:dyDescent="0.25">
      <c r="A63" s="27" t="s">
        <v>36</v>
      </c>
      <c r="B63" s="30"/>
      <c r="C63" s="30"/>
      <c r="D63" s="31">
        <v>200</v>
      </c>
      <c r="E63" s="31">
        <v>200</v>
      </c>
      <c r="F63" s="28">
        <f>IF(E63=0,"NA",(+D63-E63)/E63)</f>
        <v>0</v>
      </c>
      <c r="G63" s="31">
        <v>164</v>
      </c>
      <c r="H63" s="28">
        <f>IF(G63=0,"NA",(+D63-G63)/G63)</f>
        <v>0.21951219512195122</v>
      </c>
      <c r="J63" s="31">
        <v>135.97999999999999</v>
      </c>
      <c r="K63" s="31">
        <v>183.37</v>
      </c>
      <c r="L63" s="28">
        <f>IF(K63=0,"NA",(+J63-K63)/K63)</f>
        <v>-0.25843922124665986</v>
      </c>
    </row>
    <row r="64" spans="1:13" ht="6" customHeight="1" x14ac:dyDescent="0.25">
      <c r="F64" s="8"/>
    </row>
    <row r="65" spans="1:13" x14ac:dyDescent="0.25">
      <c r="A65" s="5" t="s">
        <v>37</v>
      </c>
      <c r="F65" s="8"/>
    </row>
    <row r="66" spans="1:13" x14ac:dyDescent="0.25">
      <c r="B66" s="1" t="s">
        <v>38</v>
      </c>
      <c r="D66" s="6">
        <v>600</v>
      </c>
      <c r="E66" s="6">
        <v>1000</v>
      </c>
      <c r="F66" s="7">
        <f t="shared" ref="F66:F71" si="18">IF(E66=0,"NA",(+D66-E66)/E66)</f>
        <v>-0.4</v>
      </c>
      <c r="G66" s="6">
        <v>350</v>
      </c>
      <c r="H66" s="7">
        <f t="shared" ref="H66:H71" si="19">IF(G66=0,"NA",(+D66-G66)/G66)</f>
        <v>0.7142857142857143</v>
      </c>
      <c r="J66" s="6">
        <v>0</v>
      </c>
      <c r="K66" s="6">
        <v>916.63</v>
      </c>
      <c r="L66" s="7">
        <f t="shared" ref="L66:L71" si="20">IF(K66=0,"NA",(+J66-K66)/K66)</f>
        <v>-1</v>
      </c>
    </row>
    <row r="67" spans="1:13" x14ac:dyDescent="0.25">
      <c r="B67" s="1" t="s">
        <v>39</v>
      </c>
      <c r="D67" s="6">
        <v>1000</v>
      </c>
      <c r="E67" s="6">
        <v>1000</v>
      </c>
      <c r="F67" s="7">
        <f t="shared" si="18"/>
        <v>0</v>
      </c>
      <c r="G67" s="6">
        <v>1094</v>
      </c>
      <c r="H67" s="7">
        <f t="shared" si="19"/>
        <v>-8.5923217550274225E-2</v>
      </c>
      <c r="J67" s="6">
        <v>1062</v>
      </c>
      <c r="K67" s="6">
        <v>1000</v>
      </c>
      <c r="L67" s="7">
        <f t="shared" si="20"/>
        <v>6.2E-2</v>
      </c>
    </row>
    <row r="68" spans="1:13" x14ac:dyDescent="0.25">
      <c r="B68" s="1" t="s">
        <v>40</v>
      </c>
      <c r="D68" s="6">
        <v>700</v>
      </c>
      <c r="E68" s="6">
        <v>1500</v>
      </c>
      <c r="F68" s="7">
        <f t="shared" si="18"/>
        <v>-0.53333333333333333</v>
      </c>
      <c r="G68" s="6">
        <v>1261</v>
      </c>
      <c r="H68" s="7">
        <f t="shared" si="19"/>
        <v>-0.44488501189532115</v>
      </c>
      <c r="J68" s="6">
        <v>150</v>
      </c>
      <c r="K68" s="6">
        <v>1375</v>
      </c>
      <c r="L68" s="7">
        <f t="shared" si="20"/>
        <v>-0.89090909090909087</v>
      </c>
    </row>
    <row r="69" spans="1:13" x14ac:dyDescent="0.25">
      <c r="B69" s="1" t="s">
        <v>41</v>
      </c>
      <c r="D69" s="6">
        <v>800</v>
      </c>
      <c r="E69" s="6">
        <v>800</v>
      </c>
      <c r="F69" s="7">
        <f t="shared" si="18"/>
        <v>0</v>
      </c>
      <c r="G69" s="6">
        <v>422</v>
      </c>
      <c r="H69" s="7">
        <f t="shared" si="19"/>
        <v>0.89573459715639814</v>
      </c>
      <c r="J69" s="6">
        <v>0</v>
      </c>
      <c r="K69" s="6">
        <v>733.37</v>
      </c>
      <c r="L69" s="7">
        <f t="shared" si="20"/>
        <v>-1</v>
      </c>
    </row>
    <row r="70" spans="1:13" x14ac:dyDescent="0.25">
      <c r="B70" s="1" t="s">
        <v>42</v>
      </c>
      <c r="D70" s="6">
        <v>800</v>
      </c>
      <c r="E70" s="6">
        <v>800</v>
      </c>
      <c r="F70" s="7">
        <f t="shared" si="18"/>
        <v>0</v>
      </c>
      <c r="G70" s="6">
        <v>1084</v>
      </c>
      <c r="H70" s="7">
        <f t="shared" si="19"/>
        <v>-0.26199261992619927</v>
      </c>
      <c r="J70" s="6">
        <v>425</v>
      </c>
      <c r="K70" s="6">
        <v>733.37</v>
      </c>
      <c r="L70" s="7">
        <f t="shared" si="20"/>
        <v>-0.42048352127848154</v>
      </c>
    </row>
    <row r="71" spans="1:13" s="5" customFormat="1" x14ac:dyDescent="0.25">
      <c r="A71" s="27" t="s">
        <v>43</v>
      </c>
      <c r="B71" s="27"/>
      <c r="C71" s="27"/>
      <c r="D71" s="27">
        <f>SUM(D66:D70)</f>
        <v>3900</v>
      </c>
      <c r="E71" s="27">
        <f>SUM(E66:E70)</f>
        <v>5100</v>
      </c>
      <c r="F71" s="28">
        <f t="shared" si="18"/>
        <v>-0.23529411764705882</v>
      </c>
      <c r="G71" s="27">
        <f>SUM(G66:G70)</f>
        <v>4211</v>
      </c>
      <c r="H71" s="28">
        <f t="shared" si="19"/>
        <v>-7.3854191403467107E-2</v>
      </c>
      <c r="J71" s="27">
        <f>SUM(J66:J70)</f>
        <v>1637</v>
      </c>
      <c r="K71" s="27">
        <f>SUM(K66:K70)</f>
        <v>4758.37</v>
      </c>
      <c r="L71" s="28">
        <f t="shared" si="20"/>
        <v>-0.65597462996782507</v>
      </c>
      <c r="M71" s="14"/>
    </row>
    <row r="72" spans="1:13" ht="6" customHeight="1" x14ac:dyDescent="0.25">
      <c r="F72" s="8"/>
    </row>
    <row r="73" spans="1:13" x14ac:dyDescent="0.25">
      <c r="A73" s="5" t="s">
        <v>44</v>
      </c>
      <c r="F73" s="8"/>
    </row>
    <row r="74" spans="1:13" x14ac:dyDescent="0.25">
      <c r="B74" s="1" t="s">
        <v>45</v>
      </c>
      <c r="D74" s="6">
        <v>6000</v>
      </c>
      <c r="E74" s="6">
        <v>7000</v>
      </c>
      <c r="F74" s="7">
        <f t="shared" ref="F74:F82" si="21">IF(E74=0,"NA",(+D74-E74)/E74)</f>
        <v>-0.14285714285714285</v>
      </c>
      <c r="G74" s="6">
        <v>6352</v>
      </c>
      <c r="H74" s="7">
        <f t="shared" ref="H74:H82" si="22">IF(G74=0,"NA",(+D74-G74)/G74)</f>
        <v>-5.5415617128463476E-2</v>
      </c>
      <c r="J74" s="6">
        <v>6287.61</v>
      </c>
      <c r="K74" s="6">
        <v>6416.63</v>
      </c>
      <c r="L74" s="7">
        <f t="shared" ref="L74:L82" si="23">IF(K74=0,"NA",(+J74-K74)/K74)</f>
        <v>-2.0107127884886684E-2</v>
      </c>
    </row>
    <row r="75" spans="1:13" x14ac:dyDescent="0.25">
      <c r="B75" s="1" t="s">
        <v>46</v>
      </c>
      <c r="D75" s="6">
        <v>5500</v>
      </c>
      <c r="E75" s="6">
        <v>7000</v>
      </c>
      <c r="F75" s="7">
        <f t="shared" si="21"/>
        <v>-0.21428571428571427</v>
      </c>
      <c r="G75" s="6">
        <v>5514</v>
      </c>
      <c r="H75" s="7">
        <f t="shared" si="22"/>
        <v>-2.5389916575988395E-3</v>
      </c>
      <c r="J75" s="6">
        <v>5038.5200000000004</v>
      </c>
      <c r="K75" s="6">
        <v>6416.63</v>
      </c>
      <c r="L75" s="7">
        <f t="shared" si="23"/>
        <v>-0.21477161687677171</v>
      </c>
    </row>
    <row r="76" spans="1:13" x14ac:dyDescent="0.25">
      <c r="B76" s="1" t="s">
        <v>157</v>
      </c>
      <c r="D76" s="6">
        <v>500</v>
      </c>
      <c r="E76" s="6">
        <v>1000</v>
      </c>
      <c r="F76" s="7">
        <f t="shared" si="21"/>
        <v>-0.5</v>
      </c>
      <c r="G76" s="6">
        <v>814</v>
      </c>
      <c r="H76" s="7">
        <f t="shared" si="22"/>
        <v>-0.38574938574938578</v>
      </c>
      <c r="J76" s="6">
        <v>168</v>
      </c>
      <c r="K76" s="6">
        <v>916.63</v>
      </c>
      <c r="L76" s="7">
        <f t="shared" si="23"/>
        <v>-0.81671994152493377</v>
      </c>
    </row>
    <row r="77" spans="1:13" x14ac:dyDescent="0.25">
      <c r="B77" s="1" t="s">
        <v>47</v>
      </c>
      <c r="D77" s="6">
        <v>253</v>
      </c>
      <c r="E77" s="6">
        <v>2000</v>
      </c>
      <c r="F77" s="7">
        <f t="shared" si="21"/>
        <v>-0.87350000000000005</v>
      </c>
      <c r="G77" s="6">
        <v>1709</v>
      </c>
      <c r="H77" s="7">
        <f t="shared" si="22"/>
        <v>-0.85196021064950267</v>
      </c>
      <c r="J77" s="6">
        <v>1393.4</v>
      </c>
      <c r="K77" s="6">
        <v>1833.37</v>
      </c>
      <c r="L77" s="7">
        <f t="shared" si="23"/>
        <v>-0.23997883678690052</v>
      </c>
    </row>
    <row r="78" spans="1:13" x14ac:dyDescent="0.25">
      <c r="B78" s="1" t="s">
        <v>48</v>
      </c>
      <c r="D78" s="6">
        <v>18000</v>
      </c>
      <c r="E78" s="6">
        <v>19000</v>
      </c>
      <c r="F78" s="7">
        <f t="shared" si="21"/>
        <v>-5.2631578947368418E-2</v>
      </c>
      <c r="G78" s="6">
        <v>21235</v>
      </c>
      <c r="H78" s="7">
        <f t="shared" si="22"/>
        <v>-0.15234283023310571</v>
      </c>
      <c r="J78" s="6">
        <v>17395.87</v>
      </c>
      <c r="K78" s="6">
        <v>17416.63</v>
      </c>
      <c r="L78" s="7">
        <f t="shared" si="23"/>
        <v>-1.1919642318865382E-3</v>
      </c>
    </row>
    <row r="79" spans="1:13" x14ac:dyDescent="0.25">
      <c r="B79" s="1" t="s">
        <v>49</v>
      </c>
      <c r="D79" s="6">
        <v>1000</v>
      </c>
      <c r="E79" s="6">
        <v>1000</v>
      </c>
      <c r="F79" s="7">
        <f t="shared" si="21"/>
        <v>0</v>
      </c>
      <c r="G79" s="6">
        <v>1645</v>
      </c>
      <c r="H79" s="7">
        <f t="shared" si="22"/>
        <v>-0.39209726443769</v>
      </c>
      <c r="J79" s="6">
        <v>2359.34</v>
      </c>
      <c r="K79" s="6">
        <v>916.63</v>
      </c>
      <c r="L79" s="7">
        <f t="shared" si="23"/>
        <v>1.5739284116819219</v>
      </c>
    </row>
    <row r="80" spans="1:13" x14ac:dyDescent="0.25">
      <c r="B80" s="1" t="s">
        <v>50</v>
      </c>
      <c r="D80" s="6">
        <v>1000</v>
      </c>
      <c r="E80" s="6">
        <v>1000</v>
      </c>
      <c r="F80" s="7">
        <f t="shared" si="21"/>
        <v>0</v>
      </c>
      <c r="G80" s="6">
        <v>0</v>
      </c>
      <c r="H80" s="7" t="str">
        <f t="shared" si="22"/>
        <v>NA</v>
      </c>
      <c r="J80" s="6">
        <v>275.64999999999998</v>
      </c>
      <c r="K80" s="6">
        <v>916.63</v>
      </c>
      <c r="L80" s="7">
        <f t="shared" si="23"/>
        <v>-0.69927888024611895</v>
      </c>
    </row>
    <row r="81" spans="1:13" s="5" customFormat="1" x14ac:dyDescent="0.25">
      <c r="A81" s="27" t="s">
        <v>53</v>
      </c>
      <c r="B81" s="27"/>
      <c r="C81" s="27"/>
      <c r="D81" s="27">
        <f>SUM(D74:D80)</f>
        <v>32253</v>
      </c>
      <c r="E81" s="27">
        <f>SUM(E74:E80)</f>
        <v>38000</v>
      </c>
      <c r="F81" s="28">
        <f t="shared" si="21"/>
        <v>-0.15123684210526317</v>
      </c>
      <c r="G81" s="27">
        <f>SUM(G74:G80)</f>
        <v>37269</v>
      </c>
      <c r="H81" s="28">
        <f t="shared" si="22"/>
        <v>-0.13458906866296386</v>
      </c>
      <c r="J81" s="27">
        <f>SUM(J74:J80)</f>
        <v>32918.39</v>
      </c>
      <c r="K81" s="27">
        <f>SUM(K74:K80)</f>
        <v>34833.149999999994</v>
      </c>
      <c r="L81" s="28">
        <f t="shared" si="23"/>
        <v>-5.496947591590181E-2</v>
      </c>
      <c r="M81" s="14"/>
    </row>
    <row r="82" spans="1:13" x14ac:dyDescent="0.25">
      <c r="A82" s="27" t="s">
        <v>132</v>
      </c>
      <c r="B82" s="32"/>
      <c r="C82" s="32"/>
      <c r="D82" s="27">
        <f>+D41+D43+D50+D56+D63+D71+D81+D61</f>
        <v>60553</v>
      </c>
      <c r="E82" s="27">
        <f>+E41+E43+E50+E56+E63+E71+E81+E61</f>
        <v>66900</v>
      </c>
      <c r="F82" s="28">
        <f t="shared" si="21"/>
        <v>-9.4872944693572492E-2</v>
      </c>
      <c r="G82" s="27">
        <f>+G41+G43+G50+G56+G63+G71+G81+G61</f>
        <v>64017</v>
      </c>
      <c r="H82" s="28">
        <f t="shared" si="22"/>
        <v>-5.4110626864739053E-2</v>
      </c>
      <c r="J82" s="27">
        <f>+J41+J43+J50+J56+J63+J71+J81+J61</f>
        <v>56474.49</v>
      </c>
      <c r="K82" s="27">
        <f>+K41+K43+K50+K56+K63+K71+K81+K61</f>
        <v>61428.67</v>
      </c>
      <c r="L82" s="28">
        <f t="shared" si="23"/>
        <v>-8.0649312446452126E-2</v>
      </c>
    </row>
    <row r="83" spans="1:13" ht="8.25" customHeight="1" x14ac:dyDescent="0.25">
      <c r="F83" s="8"/>
    </row>
    <row r="84" spans="1:13" ht="18.75" x14ac:dyDescent="0.25">
      <c r="A84" s="11" t="s">
        <v>51</v>
      </c>
      <c r="F84" s="8"/>
    </row>
    <row r="85" spans="1:13" x14ac:dyDescent="0.25">
      <c r="A85" s="5" t="s">
        <v>52</v>
      </c>
      <c r="D85" s="45"/>
      <c r="F85" s="8"/>
    </row>
    <row r="86" spans="1:13" x14ac:dyDescent="0.25">
      <c r="B86" s="1" t="s">
        <v>54</v>
      </c>
      <c r="D86" s="43">
        <f>ROUND(+E86*(1+LEFT(C$133,1)/100),0)</f>
        <v>89731</v>
      </c>
      <c r="E86" s="6">
        <v>89731</v>
      </c>
      <c r="F86" s="7">
        <f t="shared" ref="F86:F91" si="24">IF(E86=0,"NA",(+D86-E86)/E86)</f>
        <v>0</v>
      </c>
      <c r="G86" s="6">
        <v>87117</v>
      </c>
      <c r="H86" s="7">
        <f t="shared" ref="H86:H91" si="25">IF(G86=0,"NA",(+D86-G86)/G86)</f>
        <v>3.0005624619764224E-2</v>
      </c>
      <c r="J86" s="6">
        <v>81037.41</v>
      </c>
      <c r="K86" s="6">
        <v>82253.38</v>
      </c>
      <c r="L86" s="7">
        <f t="shared" ref="L86:L91" si="26">IF(K86=0,"NA",(+J86-K86)/K86)</f>
        <v>-1.4783222282172491E-2</v>
      </c>
    </row>
    <row r="87" spans="1:13" ht="30" x14ac:dyDescent="0.25">
      <c r="B87" s="1" t="s">
        <v>55</v>
      </c>
      <c r="D87" s="6">
        <v>5500</v>
      </c>
      <c r="E87" s="6">
        <v>5500</v>
      </c>
      <c r="F87" s="7">
        <f t="shared" si="24"/>
        <v>0</v>
      </c>
      <c r="G87" s="6">
        <v>5500</v>
      </c>
      <c r="H87" s="7">
        <f t="shared" si="25"/>
        <v>0</v>
      </c>
      <c r="J87" s="6">
        <v>5041.63</v>
      </c>
      <c r="K87" s="6">
        <v>5041.63</v>
      </c>
      <c r="L87" s="7">
        <f t="shared" si="26"/>
        <v>0</v>
      </c>
      <c r="M87" s="9" t="s">
        <v>158</v>
      </c>
    </row>
    <row r="88" spans="1:13" ht="30" x14ac:dyDescent="0.25">
      <c r="B88" s="1" t="s">
        <v>56</v>
      </c>
      <c r="D88" s="6">
        <v>34149</v>
      </c>
      <c r="E88" s="6">
        <v>34603</v>
      </c>
      <c r="F88" s="7">
        <f t="shared" si="24"/>
        <v>-1.3120249689333294E-2</v>
      </c>
      <c r="G88" s="6">
        <v>33221</v>
      </c>
      <c r="H88" s="7">
        <f t="shared" si="25"/>
        <v>2.7934138045212366E-2</v>
      </c>
      <c r="J88" s="6">
        <v>31381.95</v>
      </c>
      <c r="K88" s="6">
        <v>31719.38</v>
      </c>
      <c r="L88" s="7">
        <f t="shared" si="26"/>
        <v>-1.0637975899907257E-2</v>
      </c>
      <c r="M88" s="9" t="s">
        <v>148</v>
      </c>
    </row>
    <row r="89" spans="1:13" x14ac:dyDescent="0.25">
      <c r="B89" s="1" t="s">
        <v>57</v>
      </c>
      <c r="D89" s="6">
        <v>4000</v>
      </c>
      <c r="E89" s="6">
        <v>4000</v>
      </c>
      <c r="F89" s="7">
        <f t="shared" si="24"/>
        <v>0</v>
      </c>
      <c r="G89" s="6">
        <v>5289</v>
      </c>
      <c r="H89" s="7">
        <f t="shared" si="25"/>
        <v>-0.24371336736623181</v>
      </c>
      <c r="J89" s="6">
        <v>4048.31</v>
      </c>
      <c r="K89" s="6">
        <v>3666.63</v>
      </c>
      <c r="L89" s="7">
        <f t="shared" si="26"/>
        <v>0.10409558641040952</v>
      </c>
    </row>
    <row r="90" spans="1:13" x14ac:dyDescent="0.25">
      <c r="B90" s="1" t="s">
        <v>58</v>
      </c>
      <c r="D90" s="6">
        <v>3000</v>
      </c>
      <c r="E90" s="6">
        <v>3000</v>
      </c>
      <c r="F90" s="7">
        <f t="shared" si="24"/>
        <v>0</v>
      </c>
      <c r="G90" s="6">
        <v>1180</v>
      </c>
      <c r="H90" s="7">
        <f t="shared" si="25"/>
        <v>1.5423728813559323</v>
      </c>
      <c r="J90" s="6">
        <v>1527.92</v>
      </c>
      <c r="K90" s="6">
        <v>2750</v>
      </c>
      <c r="L90" s="7">
        <f t="shared" si="26"/>
        <v>-0.44439272727272727</v>
      </c>
    </row>
    <row r="91" spans="1:13" s="5" customFormat="1" x14ac:dyDescent="0.25">
      <c r="A91" s="33" t="s">
        <v>59</v>
      </c>
      <c r="B91" s="33"/>
      <c r="C91" s="33"/>
      <c r="D91" s="33">
        <f>SUM(D86:D90)</f>
        <v>136380</v>
      </c>
      <c r="E91" s="33">
        <f>SUM(E86:E90)</f>
        <v>136834</v>
      </c>
      <c r="F91" s="34">
        <f t="shared" si="24"/>
        <v>-3.3178888287998596E-3</v>
      </c>
      <c r="G91" s="33">
        <f>SUM(G86:G90)</f>
        <v>132307</v>
      </c>
      <c r="H91" s="34">
        <f t="shared" si="25"/>
        <v>3.0784463407075968E-2</v>
      </c>
      <c r="J91" s="33">
        <f>SUM(J86:J90)</f>
        <v>123037.22</v>
      </c>
      <c r="K91" s="33">
        <f>SUM(K86:K90)</f>
        <v>125431.02000000002</v>
      </c>
      <c r="L91" s="34">
        <f t="shared" si="26"/>
        <v>-1.9084593268874135E-2</v>
      </c>
      <c r="M91" s="14"/>
    </row>
    <row r="92" spans="1:13" ht="6.75" customHeight="1" x14ac:dyDescent="0.25">
      <c r="F92" s="8"/>
    </row>
    <row r="93" spans="1:13" x14ac:dyDescent="0.25">
      <c r="A93" s="5" t="s">
        <v>60</v>
      </c>
      <c r="F93" s="8"/>
    </row>
    <row r="94" spans="1:13" x14ac:dyDescent="0.25">
      <c r="B94" s="1" t="s">
        <v>61</v>
      </c>
      <c r="D94" s="43">
        <f>ROUND(+E94*(1+LEFT(C$133,1)/100),0)</f>
        <v>11307</v>
      </c>
      <c r="E94" s="6">
        <v>11307</v>
      </c>
      <c r="F94" s="7">
        <f t="shared" ref="F94:F96" si="27">IF(E94=0,"NA",(+D94-E94)/E94)</f>
        <v>0</v>
      </c>
      <c r="G94" s="6">
        <v>10978</v>
      </c>
      <c r="H94" s="7">
        <f>IF(G94=0,"NA",(+D94-G94)/G94)</f>
        <v>2.9969028967024958E-2</v>
      </c>
      <c r="J94" s="6">
        <v>10364.86</v>
      </c>
      <c r="K94" s="6">
        <v>10364.75</v>
      </c>
      <c r="L94" s="7">
        <f>IF(K94=0,"NA",(+J94-K94)/K94)</f>
        <v>1.0612894667076589E-5</v>
      </c>
    </row>
    <row r="95" spans="1:13" x14ac:dyDescent="0.25">
      <c r="B95" s="1" t="s">
        <v>62</v>
      </c>
      <c r="D95" s="6">
        <v>5000</v>
      </c>
      <c r="E95" s="6">
        <v>5000</v>
      </c>
      <c r="F95" s="7">
        <f t="shared" si="27"/>
        <v>0</v>
      </c>
      <c r="G95" s="6">
        <v>5000</v>
      </c>
      <c r="H95" s="7">
        <f>IF(G95=0,"NA",(+D95-G95)/G95)</f>
        <v>0</v>
      </c>
      <c r="J95" s="6">
        <v>4583.26</v>
      </c>
      <c r="K95" s="6">
        <v>4583.37</v>
      </c>
      <c r="L95" s="7">
        <f>IF(K95=0,"NA",(+J95-K95)/K95)</f>
        <v>-2.3999808001464553E-5</v>
      </c>
    </row>
    <row r="96" spans="1:13" s="5" customFormat="1" x14ac:dyDescent="0.25">
      <c r="A96" s="33" t="s">
        <v>63</v>
      </c>
      <c r="B96" s="33"/>
      <c r="C96" s="33"/>
      <c r="D96" s="33">
        <f>SUM(D94:D95)</f>
        <v>16307</v>
      </c>
      <c r="E96" s="33">
        <f>SUM(E94:E95)</f>
        <v>16307</v>
      </c>
      <c r="F96" s="34">
        <f t="shared" si="27"/>
        <v>0</v>
      </c>
      <c r="G96" s="33">
        <f>SUM(G94:G95)</f>
        <v>15978</v>
      </c>
      <c r="H96" s="34">
        <f>IF(G96=0,"NA",(+D96-G96)/G96)</f>
        <v>2.0590812367004632E-2</v>
      </c>
      <c r="J96" s="33">
        <f>SUM(J94:J95)</f>
        <v>14948.12</v>
      </c>
      <c r="K96" s="33">
        <f>SUM(K94:K95)</f>
        <v>14948.119999999999</v>
      </c>
      <c r="L96" s="34">
        <f>IF(K96=0,"NA",(+J96-K96)/K96)</f>
        <v>1.2168683443442096E-16</v>
      </c>
      <c r="M96" s="14"/>
    </row>
    <row r="97" spans="1:13" ht="4.5" customHeight="1" x14ac:dyDescent="0.25">
      <c r="F97" s="8"/>
    </row>
    <row r="98" spans="1:13" x14ac:dyDescent="0.25">
      <c r="A98" s="5" t="s">
        <v>64</v>
      </c>
      <c r="F98" s="8"/>
    </row>
    <row r="99" spans="1:13" x14ac:dyDescent="0.25">
      <c r="B99" s="1" t="s">
        <v>61</v>
      </c>
      <c r="D99" s="43">
        <f>ROUND(+E99*(1+LEFT(C$133,1)/100),0)</f>
        <v>13527</v>
      </c>
      <c r="E99" s="6">
        <v>13527</v>
      </c>
      <c r="F99" s="7">
        <f t="shared" ref="F99:F101" si="28">IF(E99=0,"NA",(+D99-E99)/E99)</f>
        <v>0</v>
      </c>
      <c r="G99" s="6">
        <v>13133</v>
      </c>
      <c r="H99" s="7">
        <f>IF(G99=0,"NA",(+D99-G99)/G99)</f>
        <v>3.0000761440645701E-2</v>
      </c>
      <c r="J99" s="6">
        <v>12399.86</v>
      </c>
      <c r="K99" s="6">
        <v>12399.75</v>
      </c>
      <c r="L99" s="7">
        <f>IF(K99=0,"NA",(+J99-K99)/K99)</f>
        <v>8.8711465957444363E-6</v>
      </c>
    </row>
    <row r="100" spans="1:13" x14ac:dyDescent="0.25">
      <c r="B100" s="1" t="s">
        <v>65</v>
      </c>
      <c r="D100" s="6">
        <v>750</v>
      </c>
      <c r="E100" s="6">
        <v>1000</v>
      </c>
      <c r="F100" s="7">
        <f t="shared" si="28"/>
        <v>-0.25</v>
      </c>
      <c r="G100" s="6">
        <v>739</v>
      </c>
      <c r="H100" s="7">
        <f>IF(G100=0,"NA",(+D100-G100)/G100)</f>
        <v>1.4884979702300407E-2</v>
      </c>
      <c r="J100" s="6">
        <v>648.75</v>
      </c>
      <c r="K100" s="6">
        <v>916.63</v>
      </c>
      <c r="L100" s="7">
        <f>IF(K100=0,"NA",(+J100-K100)/K100)</f>
        <v>-0.29224441704940923</v>
      </c>
    </row>
    <row r="101" spans="1:13" s="5" customFormat="1" x14ac:dyDescent="0.25">
      <c r="A101" s="33" t="s">
        <v>66</v>
      </c>
      <c r="B101" s="33"/>
      <c r="C101" s="33"/>
      <c r="D101" s="33">
        <f>SUM(D99:D100)</f>
        <v>14277</v>
      </c>
      <c r="E101" s="33">
        <f>SUM(E99:E100)</f>
        <v>14527</v>
      </c>
      <c r="F101" s="34">
        <f t="shared" si="28"/>
        <v>-1.7209334342947614E-2</v>
      </c>
      <c r="G101" s="33">
        <f>SUM(G99:G100)</f>
        <v>13872</v>
      </c>
      <c r="H101" s="34">
        <f>IF(G101=0,"NA",(+D101-G101)/G101)</f>
        <v>2.9195501730103806E-2</v>
      </c>
      <c r="J101" s="33">
        <f>SUM(J99:J100)</f>
        <v>13048.61</v>
      </c>
      <c r="K101" s="33">
        <f>SUM(K99:K100)</f>
        <v>13316.38</v>
      </c>
      <c r="L101" s="34">
        <f>IF(K101=0,"NA",(+J101-K101)/K101)</f>
        <v>-2.0108317725988492E-2</v>
      </c>
      <c r="M101" s="14"/>
    </row>
    <row r="102" spans="1:13" ht="6" customHeight="1" x14ac:dyDescent="0.25">
      <c r="F102" s="8"/>
    </row>
    <row r="103" spans="1:13" x14ac:dyDescent="0.25">
      <c r="A103" s="5" t="s">
        <v>67</v>
      </c>
      <c r="F103" s="8"/>
    </row>
    <row r="104" spans="1:13" x14ac:dyDescent="0.25">
      <c r="B104" s="1" t="s">
        <v>61</v>
      </c>
      <c r="D104" s="6">
        <v>34954</v>
      </c>
      <c r="E104" s="6">
        <v>33246</v>
      </c>
      <c r="F104" s="7">
        <f t="shared" ref="F104:F110" si="29">IF(E104=0,"NA",(+D104-E104)/E104)</f>
        <v>5.1374601455814232E-2</v>
      </c>
      <c r="G104" s="6">
        <v>32277</v>
      </c>
      <c r="H104" s="7">
        <f t="shared" ref="H104:H110" si="30">IF(G104=0,"NA",(+D104-G104)/G104)</f>
        <v>8.2938315208972338E-2</v>
      </c>
      <c r="J104" s="6">
        <v>30475.5</v>
      </c>
      <c r="K104" s="6">
        <v>30475.5</v>
      </c>
      <c r="L104" s="7">
        <f t="shared" ref="L104:L110" si="31">IF(K104=0,"NA",(+J104-K104)/K104)</f>
        <v>0</v>
      </c>
      <c r="M104" s="9" t="s">
        <v>141</v>
      </c>
    </row>
    <row r="105" spans="1:13" ht="30" x14ac:dyDescent="0.25">
      <c r="B105" s="1" t="s">
        <v>56</v>
      </c>
      <c r="D105" s="6">
        <v>4999</v>
      </c>
      <c r="E105" s="6">
        <v>5087</v>
      </c>
      <c r="F105" s="7">
        <f t="shared" si="29"/>
        <v>-1.7298997444466287E-2</v>
      </c>
      <c r="G105" s="6">
        <v>4642</v>
      </c>
      <c r="H105" s="7">
        <f t="shared" si="30"/>
        <v>7.6906505816458429E-2</v>
      </c>
      <c r="J105" s="6">
        <v>4648.3900000000003</v>
      </c>
      <c r="K105" s="6">
        <v>4663.12</v>
      </c>
      <c r="L105" s="7">
        <f t="shared" si="31"/>
        <v>-3.1588292816825568E-3</v>
      </c>
      <c r="M105" s="9" t="s">
        <v>148</v>
      </c>
    </row>
    <row r="106" spans="1:13" x14ac:dyDescent="0.25">
      <c r="B106" s="1" t="s">
        <v>58</v>
      </c>
      <c r="D106" s="6">
        <v>750</v>
      </c>
      <c r="E106" s="6">
        <v>750</v>
      </c>
      <c r="F106" s="7">
        <f t="shared" si="29"/>
        <v>0</v>
      </c>
      <c r="G106" s="6">
        <v>106</v>
      </c>
      <c r="H106" s="7">
        <f t="shared" si="30"/>
        <v>6.0754716981132075</v>
      </c>
      <c r="J106" s="6">
        <v>387</v>
      </c>
      <c r="K106" s="6">
        <v>687.5</v>
      </c>
      <c r="L106" s="7">
        <f t="shared" si="31"/>
        <v>-0.43709090909090909</v>
      </c>
    </row>
    <row r="107" spans="1:13" x14ac:dyDescent="0.25">
      <c r="B107" s="1" t="s">
        <v>57</v>
      </c>
      <c r="D107" s="6">
        <v>2000</v>
      </c>
      <c r="E107" s="6">
        <v>2000</v>
      </c>
      <c r="F107" s="7">
        <f t="shared" si="29"/>
        <v>0</v>
      </c>
      <c r="G107" s="6">
        <v>2394</v>
      </c>
      <c r="H107" s="7">
        <f t="shared" si="30"/>
        <v>-0.16457811194653299</v>
      </c>
      <c r="J107" s="6">
        <v>2000</v>
      </c>
      <c r="K107" s="6">
        <v>1833.37</v>
      </c>
      <c r="L107" s="7">
        <f t="shared" si="31"/>
        <v>9.0887273163627699E-2</v>
      </c>
    </row>
    <row r="108" spans="1:13" x14ac:dyDescent="0.25">
      <c r="B108" s="1" t="s">
        <v>62</v>
      </c>
      <c r="D108" s="6">
        <v>1500</v>
      </c>
      <c r="E108" s="6">
        <v>1270</v>
      </c>
      <c r="F108" s="7">
        <f t="shared" si="29"/>
        <v>0.18110236220472442</v>
      </c>
      <c r="G108" s="6">
        <v>1240</v>
      </c>
      <c r="H108" s="7">
        <f t="shared" si="30"/>
        <v>0.20967741935483872</v>
      </c>
      <c r="J108" s="6">
        <v>990.1</v>
      </c>
      <c r="K108" s="6">
        <v>1164.1300000000001</v>
      </c>
      <c r="L108" s="7">
        <f t="shared" si="31"/>
        <v>-0.14949361325625152</v>
      </c>
    </row>
    <row r="109" spans="1:13" x14ac:dyDescent="0.25">
      <c r="B109" s="1" t="s">
        <v>68</v>
      </c>
      <c r="D109" s="6">
        <v>1116</v>
      </c>
      <c r="E109" s="6">
        <v>1000</v>
      </c>
      <c r="F109" s="7">
        <f t="shared" si="29"/>
        <v>0.11600000000000001</v>
      </c>
      <c r="G109" s="6">
        <v>0</v>
      </c>
      <c r="H109" s="7" t="str">
        <f t="shared" si="30"/>
        <v>NA</v>
      </c>
      <c r="J109" s="6">
        <v>964.59</v>
      </c>
      <c r="K109" s="6">
        <v>916.63</v>
      </c>
      <c r="L109" s="7">
        <f t="shared" si="31"/>
        <v>5.2322092883715386E-2</v>
      </c>
    </row>
    <row r="110" spans="1:13" s="5" customFormat="1" x14ac:dyDescent="0.25">
      <c r="A110" s="33" t="s">
        <v>69</v>
      </c>
      <c r="B110" s="33"/>
      <c r="C110" s="33"/>
      <c r="D110" s="33">
        <f>SUM(D104:D109)</f>
        <v>45319</v>
      </c>
      <c r="E110" s="33">
        <f>SUM(E104:E109)</f>
        <v>43353</v>
      </c>
      <c r="F110" s="34">
        <f t="shared" si="29"/>
        <v>4.5348649459091644E-2</v>
      </c>
      <c r="G110" s="33">
        <f>SUM(G104:G109)</f>
        <v>40659</v>
      </c>
      <c r="H110" s="34">
        <f t="shared" si="30"/>
        <v>0.11461177107159547</v>
      </c>
      <c r="J110" s="33">
        <f>SUM(J104:J109)</f>
        <v>39465.579999999994</v>
      </c>
      <c r="K110" s="33">
        <f>SUM(K104:K109)</f>
        <v>39740.25</v>
      </c>
      <c r="L110" s="34">
        <f t="shared" si="31"/>
        <v>-6.9116324129819395E-3</v>
      </c>
      <c r="M110" s="14"/>
    </row>
    <row r="111" spans="1:13" ht="6" customHeight="1" x14ac:dyDescent="0.25">
      <c r="F111" s="8"/>
    </row>
    <row r="112" spans="1:13" x14ac:dyDescent="0.25">
      <c r="A112" s="5" t="s">
        <v>70</v>
      </c>
      <c r="F112" s="8"/>
    </row>
    <row r="113" spans="1:15" x14ac:dyDescent="0.25">
      <c r="B113" s="1" t="s">
        <v>71</v>
      </c>
      <c r="D113" s="43">
        <f>ROUND(+E113*(1+LEFT(C$133,1)/100),0)</f>
        <v>9580</v>
      </c>
      <c r="E113" s="6">
        <v>9580</v>
      </c>
      <c r="F113" s="7">
        <f t="shared" ref="F113:F119" si="32">IF(E113=0,"NA",(+D113-E113)/E113)</f>
        <v>0</v>
      </c>
      <c r="G113" s="6">
        <v>9580</v>
      </c>
      <c r="H113" s="7">
        <f t="shared" ref="H113:H119" si="33">IF(G113=0,"NA",(+D113-G113)/G113)</f>
        <v>0</v>
      </c>
      <c r="J113" s="6">
        <v>8781.74</v>
      </c>
      <c r="K113" s="6">
        <v>8781.6299999999992</v>
      </c>
      <c r="L113" s="7">
        <f t="shared" ref="L113:L119" si="34">IF(K113=0,"NA",(+J113-K113)/K113)</f>
        <v>1.2526148334714864E-5</v>
      </c>
    </row>
    <row r="114" spans="1:15" x14ac:dyDescent="0.25">
      <c r="B114" s="1" t="s">
        <v>72</v>
      </c>
      <c r="D114" s="6">
        <v>500</v>
      </c>
      <c r="E114" s="6">
        <v>900</v>
      </c>
      <c r="F114" s="7">
        <f t="shared" si="32"/>
        <v>-0.44444444444444442</v>
      </c>
      <c r="G114" s="6">
        <v>400</v>
      </c>
      <c r="H114" s="7">
        <f t="shared" si="33"/>
        <v>0.25</v>
      </c>
      <c r="J114" s="6">
        <v>200</v>
      </c>
      <c r="K114" s="6">
        <v>825</v>
      </c>
      <c r="L114" s="7">
        <f t="shared" si="34"/>
        <v>-0.75757575757575757</v>
      </c>
    </row>
    <row r="115" spans="1:15" x14ac:dyDescent="0.25">
      <c r="B115" s="1" t="s">
        <v>73</v>
      </c>
      <c r="D115" s="43">
        <f t="shared" ref="D115:D117" si="35">ROUND(+E115*(1+LEFT(C$133,1)/100),0)</f>
        <v>17796</v>
      </c>
      <c r="E115" s="6">
        <v>17796</v>
      </c>
      <c r="F115" s="7">
        <f t="shared" si="32"/>
        <v>0</v>
      </c>
      <c r="G115" s="6">
        <v>17492</v>
      </c>
      <c r="H115" s="7">
        <f t="shared" si="33"/>
        <v>1.7379373427852732E-2</v>
      </c>
      <c r="J115" s="6">
        <v>16560.28</v>
      </c>
      <c r="K115" s="6">
        <v>16313</v>
      </c>
      <c r="L115" s="7">
        <f t="shared" si="34"/>
        <v>1.5158462575859672E-2</v>
      </c>
    </row>
    <row r="116" spans="1:15" x14ac:dyDescent="0.25">
      <c r="B116" s="1" t="s">
        <v>74</v>
      </c>
      <c r="D116" s="43">
        <f t="shared" si="35"/>
        <v>6581</v>
      </c>
      <c r="E116" s="6">
        <v>6581</v>
      </c>
      <c r="F116" s="7">
        <f t="shared" si="32"/>
        <v>0</v>
      </c>
      <c r="G116" s="6">
        <v>6389</v>
      </c>
      <c r="H116" s="7">
        <f t="shared" si="33"/>
        <v>3.005165127562999E-2</v>
      </c>
      <c r="J116" s="6">
        <v>5922.9</v>
      </c>
      <c r="K116" s="6">
        <v>5922.9</v>
      </c>
      <c r="L116" s="7">
        <f t="shared" si="34"/>
        <v>0</v>
      </c>
    </row>
    <row r="117" spans="1:15" x14ac:dyDescent="0.25">
      <c r="B117" s="1" t="s">
        <v>75</v>
      </c>
      <c r="D117" s="43">
        <f t="shared" si="35"/>
        <v>1698</v>
      </c>
      <c r="E117" s="6">
        <v>1698</v>
      </c>
      <c r="F117" s="7">
        <f t="shared" si="32"/>
        <v>0</v>
      </c>
      <c r="G117" s="6">
        <v>1697</v>
      </c>
      <c r="H117" s="7">
        <f t="shared" si="33"/>
        <v>5.8927519151443723E-4</v>
      </c>
      <c r="J117" s="6">
        <v>1555.95</v>
      </c>
      <c r="K117" s="6">
        <v>1556.5</v>
      </c>
      <c r="L117" s="7">
        <f t="shared" si="34"/>
        <v>-3.5335689045933472E-4</v>
      </c>
    </row>
    <row r="118" spans="1:15" x14ac:dyDescent="0.25">
      <c r="B118" s="1" t="s">
        <v>76</v>
      </c>
      <c r="D118" s="6">
        <v>2400</v>
      </c>
      <c r="E118" s="6">
        <v>2500</v>
      </c>
      <c r="F118" s="7">
        <f t="shared" si="32"/>
        <v>-0.04</v>
      </c>
      <c r="G118" s="6">
        <v>2400</v>
      </c>
      <c r="H118" s="7">
        <f t="shared" si="33"/>
        <v>0</v>
      </c>
      <c r="J118" s="6">
        <v>2200</v>
      </c>
      <c r="K118" s="6">
        <v>2291.63</v>
      </c>
      <c r="L118" s="7">
        <f t="shared" si="34"/>
        <v>-3.9984639754236113E-2</v>
      </c>
    </row>
    <row r="119" spans="1:15" s="5" customFormat="1" x14ac:dyDescent="0.25">
      <c r="A119" s="33" t="s">
        <v>77</v>
      </c>
      <c r="B119" s="33"/>
      <c r="C119" s="33"/>
      <c r="D119" s="33">
        <f>SUM(D113:D118)</f>
        <v>38555</v>
      </c>
      <c r="E119" s="33">
        <f>SUM(E113:E118)</f>
        <v>39055</v>
      </c>
      <c r="F119" s="34">
        <f t="shared" si="32"/>
        <v>-1.2802458071949815E-2</v>
      </c>
      <c r="G119" s="33">
        <f>SUM(G113:G118)</f>
        <v>37958</v>
      </c>
      <c r="H119" s="34">
        <f t="shared" si="33"/>
        <v>1.5727909795036618E-2</v>
      </c>
      <c r="J119" s="33">
        <f>SUM(J113:J118)</f>
        <v>35220.869999999995</v>
      </c>
      <c r="K119" s="33">
        <f>SUM(K113:K118)</f>
        <v>35690.659999999996</v>
      </c>
      <c r="L119" s="34">
        <f t="shared" si="34"/>
        <v>-1.3162827473630382E-2</v>
      </c>
      <c r="M119" s="14"/>
    </row>
    <row r="120" spans="1:15" ht="6.75" customHeight="1" x14ac:dyDescent="0.25">
      <c r="F120" s="8"/>
    </row>
    <row r="121" spans="1:15" x14ac:dyDescent="0.25">
      <c r="A121" s="5" t="s">
        <v>78</v>
      </c>
      <c r="F121" s="8"/>
    </row>
    <row r="122" spans="1:15" ht="45" x14ac:dyDescent="0.25">
      <c r="B122" s="1" t="s">
        <v>161</v>
      </c>
      <c r="D122" s="6">
        <v>12075</v>
      </c>
      <c r="E122" s="6">
        <v>10655</v>
      </c>
      <c r="F122" s="7">
        <f t="shared" ref="F122:F133" si="36">IF(E122=0,"NA",(+D122-E122)/E122)</f>
        <v>0.13327076489910841</v>
      </c>
      <c r="G122" s="6">
        <v>11830</v>
      </c>
      <c r="H122" s="7">
        <f t="shared" ref="H122:H133" si="37">IF(G122=0,"NA",(+D122-G122)/G122)</f>
        <v>2.0710059171597635E-2</v>
      </c>
      <c r="J122" s="6">
        <v>11464.97</v>
      </c>
      <c r="K122" s="6">
        <v>9767.1200000000008</v>
      </c>
      <c r="L122" s="7">
        <f t="shared" ref="L122:L133" si="38">IF(K122=0,"NA",(+J122-K122)/K122)</f>
        <v>0.1738332282187583</v>
      </c>
      <c r="M122" s="9" t="s">
        <v>160</v>
      </c>
      <c r="O122" s="35"/>
    </row>
    <row r="123" spans="1:15" ht="39.75" customHeight="1" x14ac:dyDescent="0.25">
      <c r="B123" s="1" t="s">
        <v>80</v>
      </c>
      <c r="D123" s="43">
        <f>ROUND(+E123/2*(LEFT(C$133,1)/100),0)+E123</f>
        <v>31118</v>
      </c>
      <c r="E123" s="6">
        <v>31118</v>
      </c>
      <c r="F123" s="7">
        <f t="shared" si="36"/>
        <v>0</v>
      </c>
      <c r="G123" s="6">
        <v>31785</v>
      </c>
      <c r="H123" s="7">
        <f t="shared" si="37"/>
        <v>-2.0984741230140002E-2</v>
      </c>
      <c r="J123" s="6">
        <v>31769.16</v>
      </c>
      <c r="K123" s="6">
        <v>28524.87</v>
      </c>
      <c r="L123" s="7">
        <f t="shared" si="38"/>
        <v>0.11373548766392277</v>
      </c>
      <c r="O123" s="35"/>
    </row>
    <row r="124" spans="1:15" x14ac:dyDescent="0.25">
      <c r="B124" s="1" t="s">
        <v>81</v>
      </c>
      <c r="D124" s="6">
        <v>500</v>
      </c>
      <c r="E124" s="6">
        <v>500</v>
      </c>
      <c r="F124" s="7">
        <f t="shared" si="36"/>
        <v>0</v>
      </c>
      <c r="G124" s="6">
        <v>569</v>
      </c>
      <c r="H124" s="7">
        <f t="shared" si="37"/>
        <v>-0.12126537785588752</v>
      </c>
      <c r="J124" s="6">
        <v>544.22</v>
      </c>
      <c r="K124" s="6">
        <v>458.37</v>
      </c>
      <c r="L124" s="7">
        <f t="shared" si="38"/>
        <v>0.18729410738050051</v>
      </c>
      <c r="O124" s="35"/>
    </row>
    <row r="125" spans="1:15" x14ac:dyDescent="0.25">
      <c r="B125" s="1" t="s">
        <v>82</v>
      </c>
      <c r="D125" s="6">
        <v>1000</v>
      </c>
      <c r="E125" s="6">
        <v>1000</v>
      </c>
      <c r="F125" s="7">
        <f t="shared" si="36"/>
        <v>0</v>
      </c>
      <c r="G125" s="6">
        <v>700</v>
      </c>
      <c r="H125" s="7">
        <f t="shared" si="37"/>
        <v>0.42857142857142855</v>
      </c>
      <c r="J125" s="6">
        <v>102.87</v>
      </c>
      <c r="K125" s="6">
        <v>916.63</v>
      </c>
      <c r="L125" s="7">
        <f t="shared" si="38"/>
        <v>-0.88777369276589246</v>
      </c>
      <c r="O125" s="35"/>
    </row>
    <row r="126" spans="1:15" ht="30" x14ac:dyDescent="0.25">
      <c r="B126" s="1" t="s">
        <v>83</v>
      </c>
      <c r="D126" s="6">
        <f>7.5*4*20</f>
        <v>600</v>
      </c>
      <c r="E126" s="6">
        <v>600</v>
      </c>
      <c r="F126" s="7">
        <f t="shared" si="36"/>
        <v>0</v>
      </c>
      <c r="G126" s="6">
        <v>770</v>
      </c>
      <c r="H126" s="7">
        <f t="shared" si="37"/>
        <v>-0.22077922077922077</v>
      </c>
      <c r="J126" s="6">
        <v>1298.29</v>
      </c>
      <c r="K126" s="6">
        <v>550</v>
      </c>
      <c r="L126" s="7">
        <f t="shared" si="38"/>
        <v>1.3605272727272726</v>
      </c>
      <c r="M126" s="9" t="s">
        <v>150</v>
      </c>
      <c r="N126" s="6"/>
      <c r="O126" s="35"/>
    </row>
    <row r="127" spans="1:15" x14ac:dyDescent="0.25">
      <c r="B127" s="1" t="s">
        <v>131</v>
      </c>
      <c r="D127" s="6">
        <f>11.5*30*50</f>
        <v>17250</v>
      </c>
      <c r="E127" s="6">
        <v>19282</v>
      </c>
      <c r="F127" s="7">
        <f t="shared" si="36"/>
        <v>-0.10538325899802925</v>
      </c>
      <c r="G127" s="6">
        <v>19111</v>
      </c>
      <c r="H127" s="7">
        <f t="shared" si="37"/>
        <v>-9.7378473130657742E-2</v>
      </c>
      <c r="J127" s="6">
        <v>20563.669999999998</v>
      </c>
      <c r="K127" s="6">
        <v>17675.13</v>
      </c>
      <c r="L127" s="7">
        <f t="shared" si="38"/>
        <v>0.1634239748165924</v>
      </c>
      <c r="M127" s="9" t="s">
        <v>149</v>
      </c>
      <c r="O127" s="35"/>
    </row>
    <row r="128" spans="1:15" x14ac:dyDescent="0.25">
      <c r="B128" s="1" t="s">
        <v>84</v>
      </c>
      <c r="D128" s="6">
        <v>9800</v>
      </c>
      <c r="E128" s="6">
        <v>10025</v>
      </c>
      <c r="F128" s="7">
        <f t="shared" si="36"/>
        <v>-2.2443890274314215E-2</v>
      </c>
      <c r="G128" s="6">
        <v>9696</v>
      </c>
      <c r="H128" s="7">
        <f t="shared" si="37"/>
        <v>1.0726072607260726E-2</v>
      </c>
      <c r="J128" s="6">
        <v>7614.73</v>
      </c>
      <c r="K128" s="6">
        <v>9189.6200000000008</v>
      </c>
      <c r="L128" s="7">
        <f t="shared" si="38"/>
        <v>-0.1713770536757778</v>
      </c>
      <c r="M128" s="9" t="s">
        <v>152</v>
      </c>
      <c r="O128" s="35"/>
    </row>
    <row r="129" spans="1:13" x14ac:dyDescent="0.25">
      <c r="B129" s="1" t="s">
        <v>85</v>
      </c>
      <c r="D129" s="6">
        <v>3400</v>
      </c>
      <c r="E129" s="6">
        <v>3300</v>
      </c>
      <c r="F129" s="7">
        <f t="shared" si="36"/>
        <v>3.0303030303030304E-2</v>
      </c>
      <c r="G129" s="6">
        <v>3120</v>
      </c>
      <c r="H129" s="7">
        <f t="shared" si="37"/>
        <v>8.9743589743589744E-2</v>
      </c>
      <c r="J129" s="6">
        <v>2455</v>
      </c>
      <c r="K129" s="6">
        <v>3300</v>
      </c>
      <c r="L129" s="7">
        <f t="shared" si="38"/>
        <v>-0.25606060606060604</v>
      </c>
      <c r="M129" s="46" t="s">
        <v>152</v>
      </c>
    </row>
    <row r="130" spans="1:13" x14ac:dyDescent="0.25">
      <c r="B130" s="1" t="s">
        <v>86</v>
      </c>
      <c r="D130" s="6">
        <v>600</v>
      </c>
      <c r="E130" s="6">
        <v>600</v>
      </c>
      <c r="F130" s="7">
        <f t="shared" si="36"/>
        <v>0</v>
      </c>
      <c r="G130" s="6">
        <v>700</v>
      </c>
      <c r="H130" s="7">
        <f t="shared" si="37"/>
        <v>-0.14285714285714285</v>
      </c>
      <c r="J130" s="6">
        <v>1050</v>
      </c>
      <c r="K130" s="6">
        <v>550</v>
      </c>
      <c r="L130" s="7">
        <f t="shared" si="38"/>
        <v>0.90909090909090906</v>
      </c>
    </row>
    <row r="131" spans="1:13" x14ac:dyDescent="0.25">
      <c r="B131" s="1" t="s">
        <v>87</v>
      </c>
      <c r="D131" s="6">
        <v>-5000</v>
      </c>
      <c r="E131" s="6">
        <v>-4000</v>
      </c>
      <c r="F131" s="7">
        <f t="shared" si="36"/>
        <v>0.25</v>
      </c>
      <c r="G131" s="6">
        <v>-4000</v>
      </c>
      <c r="H131" s="7">
        <f t="shared" si="37"/>
        <v>0.25</v>
      </c>
      <c r="J131" s="6">
        <v>-4000</v>
      </c>
      <c r="K131" s="6">
        <v>-4000</v>
      </c>
      <c r="L131" s="7">
        <f t="shared" si="38"/>
        <v>0</v>
      </c>
      <c r="M131" s="9" t="s">
        <v>151</v>
      </c>
    </row>
    <row r="132" spans="1:13" s="5" customFormat="1" x14ac:dyDescent="0.25">
      <c r="A132" s="33" t="s">
        <v>79</v>
      </c>
      <c r="B132" s="33"/>
      <c r="C132" s="33"/>
      <c r="D132" s="33">
        <f>SUM(D122:D131)</f>
        <v>71343</v>
      </c>
      <c r="E132" s="33">
        <f>SUM(E122:E131)</f>
        <v>73080</v>
      </c>
      <c r="F132" s="34">
        <f t="shared" si="36"/>
        <v>-2.376847290640394E-2</v>
      </c>
      <c r="G132" s="33">
        <f>SUM(G122:G131)</f>
        <v>74281</v>
      </c>
      <c r="H132" s="34">
        <f t="shared" si="37"/>
        <v>-3.9552510063138625E-2</v>
      </c>
      <c r="J132" s="33">
        <f>SUM(J122:J131)</f>
        <v>72862.909999999989</v>
      </c>
      <c r="K132" s="33">
        <f>SUM(K122:K131)</f>
        <v>66931.739999999991</v>
      </c>
      <c r="L132" s="34">
        <f t="shared" si="38"/>
        <v>8.8615207075148486E-2</v>
      </c>
      <c r="M132" s="14"/>
    </row>
    <row r="133" spans="1:13" x14ac:dyDescent="0.25">
      <c r="A133" s="33" t="s">
        <v>88</v>
      </c>
      <c r="B133" s="33"/>
      <c r="C133" s="44" t="str">
        <f>0*100%&amp;"% Cost of Living"</f>
        <v>0% Cost of Living</v>
      </c>
      <c r="D133" s="33">
        <f>+D91+D96+D101+D110+D119+D132</f>
        <v>322181</v>
      </c>
      <c r="E133" s="33">
        <f>+E91+E96+E101+E110+E119+E132</f>
        <v>323156</v>
      </c>
      <c r="F133" s="34">
        <f t="shared" si="36"/>
        <v>-3.0171186671452796E-3</v>
      </c>
      <c r="G133" s="33">
        <f t="shared" ref="G133" si="39">+G91+G96+G101+G110+G119+G132</f>
        <v>315055</v>
      </c>
      <c r="H133" s="34">
        <f t="shared" si="37"/>
        <v>2.261827299995239E-2</v>
      </c>
      <c r="J133" s="33">
        <f t="shared" ref="J133:K133" si="40">+J91+J96+J101+J110+J119+J132</f>
        <v>298583.31</v>
      </c>
      <c r="K133" s="33">
        <f t="shared" si="40"/>
        <v>296058.17000000004</v>
      </c>
      <c r="L133" s="34">
        <f t="shared" si="38"/>
        <v>8.5292022172533035E-3</v>
      </c>
    </row>
    <row r="134" spans="1:13" ht="8.25" customHeight="1" x14ac:dyDescent="0.25">
      <c r="F134" s="8"/>
    </row>
    <row r="135" spans="1:13" ht="18.75" x14ac:dyDescent="0.25">
      <c r="A135" s="11" t="s">
        <v>89</v>
      </c>
      <c r="F135" s="8"/>
    </row>
    <row r="136" spans="1:13" x14ac:dyDescent="0.25">
      <c r="A136" s="5" t="s">
        <v>90</v>
      </c>
      <c r="F136" s="8"/>
    </row>
    <row r="137" spans="1:13" x14ac:dyDescent="0.25">
      <c r="B137" s="1" t="s">
        <v>92</v>
      </c>
      <c r="D137" s="6">
        <v>18000</v>
      </c>
      <c r="E137" s="6">
        <v>16500</v>
      </c>
      <c r="F137" s="7">
        <f t="shared" ref="F137:F144" si="41">IF(E137=0,"NA",(+D137-E137)/E137)</f>
        <v>9.0909090909090912E-2</v>
      </c>
      <c r="G137" s="6">
        <v>16071</v>
      </c>
      <c r="H137" s="7">
        <f t="shared" ref="H137:H144" si="42">IF(G137=0,"NA",(+D137-G137)/G137)</f>
        <v>0.12002986746313235</v>
      </c>
      <c r="J137" s="6">
        <v>16321.87</v>
      </c>
      <c r="K137" s="6">
        <v>15125</v>
      </c>
      <c r="L137" s="7">
        <f t="shared" ref="L137:L144" si="43">IF(K137=0,"NA",(+J137-K137)/K137)</f>
        <v>7.9131900826446333E-2</v>
      </c>
      <c r="M137" s="9" t="s">
        <v>144</v>
      </c>
    </row>
    <row r="138" spans="1:13" x14ac:dyDescent="0.25">
      <c r="B138" s="1" t="s">
        <v>93</v>
      </c>
      <c r="D138" s="6">
        <v>12000</v>
      </c>
      <c r="E138" s="6">
        <v>12000</v>
      </c>
      <c r="F138" s="7">
        <f t="shared" si="41"/>
        <v>0</v>
      </c>
      <c r="G138" s="6">
        <v>10365</v>
      </c>
      <c r="H138" s="7">
        <f t="shared" si="42"/>
        <v>0.15774240231548481</v>
      </c>
      <c r="J138" s="6">
        <v>11367.85</v>
      </c>
      <c r="K138" s="6">
        <v>11000</v>
      </c>
      <c r="L138" s="7">
        <f t="shared" si="43"/>
        <v>3.3440909090909125E-2</v>
      </c>
    </row>
    <row r="139" spans="1:13" x14ac:dyDescent="0.25">
      <c r="B139" s="1" t="s">
        <v>94</v>
      </c>
      <c r="D139" s="6">
        <v>3400</v>
      </c>
      <c r="E139" s="6">
        <v>3900</v>
      </c>
      <c r="F139" s="7">
        <f t="shared" si="41"/>
        <v>-0.12820512820512819</v>
      </c>
      <c r="G139" s="6">
        <v>3847</v>
      </c>
      <c r="H139" s="7">
        <f t="shared" si="42"/>
        <v>-0.11619443722381076</v>
      </c>
      <c r="J139" s="6">
        <v>3726.01</v>
      </c>
      <c r="K139" s="6">
        <v>3575</v>
      </c>
      <c r="L139" s="7">
        <f t="shared" si="43"/>
        <v>4.2240559440559503E-2</v>
      </c>
    </row>
    <row r="140" spans="1:13" x14ac:dyDescent="0.25">
      <c r="B140" s="1" t="s">
        <v>95</v>
      </c>
      <c r="D140" s="6">
        <v>850</v>
      </c>
      <c r="E140" s="6">
        <v>800</v>
      </c>
      <c r="F140" s="7">
        <f t="shared" si="41"/>
        <v>6.25E-2</v>
      </c>
      <c r="G140" s="6">
        <v>766</v>
      </c>
      <c r="H140" s="7">
        <f t="shared" si="42"/>
        <v>0.10966057441253264</v>
      </c>
      <c r="J140" s="6">
        <v>742.15</v>
      </c>
      <c r="K140" s="6">
        <v>800</v>
      </c>
      <c r="L140" s="7">
        <f t="shared" si="43"/>
        <v>-7.231250000000003E-2</v>
      </c>
      <c r="M140" s="9" t="s">
        <v>143</v>
      </c>
    </row>
    <row r="141" spans="1:13" x14ac:dyDescent="0.25">
      <c r="B141" s="1" t="s">
        <v>96</v>
      </c>
      <c r="D141" s="6">
        <v>3300</v>
      </c>
      <c r="E141" s="6">
        <v>3300</v>
      </c>
      <c r="F141" s="7">
        <f t="shared" si="41"/>
        <v>0</v>
      </c>
      <c r="G141" s="6">
        <v>3016</v>
      </c>
      <c r="H141" s="7">
        <f t="shared" si="42"/>
        <v>9.4164456233421748E-2</v>
      </c>
      <c r="J141" s="6">
        <v>3225.73</v>
      </c>
      <c r="K141" s="6">
        <v>3025</v>
      </c>
      <c r="L141" s="7">
        <f t="shared" si="43"/>
        <v>6.6357024793388439E-2</v>
      </c>
    </row>
    <row r="142" spans="1:13" x14ac:dyDescent="0.25">
      <c r="B142" s="1" t="s">
        <v>97</v>
      </c>
      <c r="D142" s="6">
        <v>2500</v>
      </c>
      <c r="E142" s="6">
        <v>2400</v>
      </c>
      <c r="F142" s="7">
        <f t="shared" si="41"/>
        <v>4.1666666666666664E-2</v>
      </c>
      <c r="G142" s="6">
        <v>2344</v>
      </c>
      <c r="H142" s="7">
        <f t="shared" si="42"/>
        <v>6.655290102389079E-2</v>
      </c>
      <c r="J142" s="6">
        <v>2716.41</v>
      </c>
      <c r="K142" s="6">
        <v>2200</v>
      </c>
      <c r="L142" s="7">
        <f t="shared" si="43"/>
        <v>0.23473181818181812</v>
      </c>
    </row>
    <row r="143" spans="1:13" x14ac:dyDescent="0.25">
      <c r="B143" s="1" t="s">
        <v>98</v>
      </c>
      <c r="D143" s="6">
        <v>3100</v>
      </c>
      <c r="E143" s="6">
        <v>3100</v>
      </c>
      <c r="F143" s="7">
        <f t="shared" si="41"/>
        <v>0</v>
      </c>
      <c r="G143" s="6">
        <v>3025</v>
      </c>
      <c r="H143" s="7">
        <f t="shared" si="42"/>
        <v>2.4793388429752067E-2</v>
      </c>
      <c r="J143" s="6">
        <v>3163.5</v>
      </c>
      <c r="K143" s="6">
        <v>3100</v>
      </c>
      <c r="L143" s="7">
        <f t="shared" si="43"/>
        <v>2.0483870967741936E-2</v>
      </c>
    </row>
    <row r="144" spans="1:13" s="5" customFormat="1" x14ac:dyDescent="0.25">
      <c r="A144" s="36" t="s">
        <v>99</v>
      </c>
      <c r="B144" s="36"/>
      <c r="C144" s="36"/>
      <c r="D144" s="36">
        <f>SUM(D137:D143)</f>
        <v>43150</v>
      </c>
      <c r="E144" s="36">
        <f>SUM(E137:E143)</f>
        <v>42000</v>
      </c>
      <c r="F144" s="37">
        <f t="shared" si="41"/>
        <v>2.7380952380952381E-2</v>
      </c>
      <c r="G144" s="36">
        <f>SUM(G137:G143)</f>
        <v>39434</v>
      </c>
      <c r="H144" s="37">
        <f t="shared" si="42"/>
        <v>9.4233402647461578E-2</v>
      </c>
      <c r="J144" s="36">
        <f>SUM(J137:J143)</f>
        <v>41263.520000000004</v>
      </c>
      <c r="K144" s="36">
        <f>SUM(K137:K143)</f>
        <v>38825</v>
      </c>
      <c r="L144" s="37">
        <f t="shared" si="43"/>
        <v>6.280798454604003E-2</v>
      </c>
      <c r="M144" s="14"/>
    </row>
    <row r="145" spans="1:13" s="5" customFormat="1" ht="6.75" customHeight="1" x14ac:dyDescent="0.25">
      <c r="A145" s="22"/>
      <c r="B145" s="22"/>
      <c r="C145" s="22"/>
      <c r="D145" s="22"/>
      <c r="E145" s="22"/>
      <c r="F145" s="25"/>
      <c r="G145" s="22"/>
      <c r="H145" s="25"/>
      <c r="J145" s="22"/>
      <c r="K145" s="22"/>
      <c r="L145" s="25"/>
      <c r="M145" s="14"/>
    </row>
    <row r="146" spans="1:13" x14ac:dyDescent="0.25">
      <c r="A146" s="5" t="s">
        <v>100</v>
      </c>
      <c r="F146" s="8"/>
    </row>
    <row r="147" spans="1:13" x14ac:dyDescent="0.25">
      <c r="B147" s="1" t="s">
        <v>101</v>
      </c>
      <c r="D147" s="6">
        <v>12000</v>
      </c>
      <c r="E147" s="6">
        <v>11000</v>
      </c>
      <c r="F147" s="7">
        <f t="shared" ref="F147:F156" si="44">IF(E147=0,"NA",(+D147-E147)/E147)</f>
        <v>9.0909090909090912E-2</v>
      </c>
      <c r="G147" s="6">
        <v>10182</v>
      </c>
      <c r="H147" s="7">
        <f t="shared" ref="H147:H156" si="45">IF(G147=0,"NA",(+D147-G147)/G147)</f>
        <v>0.17855038302887449</v>
      </c>
      <c r="J147" s="6">
        <v>9766.41</v>
      </c>
      <c r="K147" s="6">
        <v>11000</v>
      </c>
      <c r="L147" s="7">
        <f t="shared" ref="L147:L156" si="46">IF(K147=0,"NA",(+J147-K147)/K147)</f>
        <v>-0.11214454545454547</v>
      </c>
    </row>
    <row r="148" spans="1:13" x14ac:dyDescent="0.25">
      <c r="B148" s="1" t="s">
        <v>102</v>
      </c>
      <c r="D148" s="6">
        <v>5000</v>
      </c>
      <c r="E148" s="6">
        <v>5000</v>
      </c>
      <c r="F148" s="7">
        <f t="shared" si="44"/>
        <v>0</v>
      </c>
      <c r="G148" s="6">
        <v>5938</v>
      </c>
      <c r="H148" s="7">
        <f t="shared" si="45"/>
        <v>-0.15796564499831592</v>
      </c>
      <c r="J148" s="6">
        <v>5650.25</v>
      </c>
      <c r="K148" s="6">
        <v>4000</v>
      </c>
      <c r="L148" s="7">
        <f t="shared" si="46"/>
        <v>0.4125625</v>
      </c>
    </row>
    <row r="149" spans="1:13" x14ac:dyDescent="0.25">
      <c r="B149" s="1" t="s">
        <v>103</v>
      </c>
      <c r="D149" s="6">
        <v>2500</v>
      </c>
      <c r="E149" s="6">
        <v>3000</v>
      </c>
      <c r="F149" s="7">
        <f t="shared" si="44"/>
        <v>-0.16666666666666666</v>
      </c>
      <c r="G149" s="6">
        <v>2996</v>
      </c>
      <c r="H149" s="7">
        <f t="shared" si="45"/>
        <v>-0.16555407209612816</v>
      </c>
      <c r="J149" s="6">
        <v>2054.81</v>
      </c>
      <c r="K149" s="6">
        <v>2750</v>
      </c>
      <c r="L149" s="7">
        <f t="shared" si="46"/>
        <v>-0.25279636363636365</v>
      </c>
    </row>
    <row r="150" spans="1:13" ht="28.5" customHeight="1" x14ac:dyDescent="0.25">
      <c r="B150" s="68" t="s">
        <v>135</v>
      </c>
      <c r="C150" s="68"/>
      <c r="D150" s="6">
        <v>2700</v>
      </c>
      <c r="E150" s="6">
        <v>3000</v>
      </c>
      <c r="F150" s="7">
        <f t="shared" si="44"/>
        <v>-0.1</v>
      </c>
      <c r="G150" s="6">
        <v>2796</v>
      </c>
      <c r="H150" s="7">
        <f t="shared" si="45"/>
        <v>-3.4334763948497854E-2</v>
      </c>
      <c r="J150" s="6">
        <v>2749.08</v>
      </c>
      <c r="K150" s="6">
        <v>2750</v>
      </c>
      <c r="L150" s="7">
        <f t="shared" si="46"/>
        <v>-3.3454545454548101E-4</v>
      </c>
    </row>
    <row r="151" spans="1:13" x14ac:dyDescent="0.25">
      <c r="B151" s="1" t="s">
        <v>104</v>
      </c>
      <c r="D151" s="6">
        <v>7000</v>
      </c>
      <c r="E151" s="6">
        <v>6000</v>
      </c>
      <c r="F151" s="7">
        <f t="shared" si="44"/>
        <v>0.16666666666666666</v>
      </c>
      <c r="G151" s="6">
        <v>5158</v>
      </c>
      <c r="H151" s="7">
        <f t="shared" si="45"/>
        <v>0.35711516091508338</v>
      </c>
      <c r="J151" s="6">
        <v>7947.63</v>
      </c>
      <c r="K151" s="6">
        <v>5500</v>
      </c>
      <c r="L151" s="7">
        <f t="shared" si="46"/>
        <v>0.4450236363636364</v>
      </c>
      <c r="M151" s="9" t="s">
        <v>145</v>
      </c>
    </row>
    <row r="152" spans="1:13" x14ac:dyDescent="0.25">
      <c r="B152" s="1" t="s">
        <v>105</v>
      </c>
      <c r="D152" s="6">
        <v>0</v>
      </c>
      <c r="E152" s="6">
        <v>0</v>
      </c>
      <c r="F152" s="7" t="str">
        <f t="shared" si="44"/>
        <v>NA</v>
      </c>
      <c r="G152" s="6">
        <v>131</v>
      </c>
      <c r="H152" s="7">
        <f t="shared" si="45"/>
        <v>-1</v>
      </c>
      <c r="J152" s="6">
        <v>0</v>
      </c>
      <c r="K152" s="6">
        <v>0</v>
      </c>
      <c r="L152" s="7" t="str">
        <f t="shared" si="46"/>
        <v>NA</v>
      </c>
    </row>
    <row r="153" spans="1:13" x14ac:dyDescent="0.25">
      <c r="B153" s="1" t="s">
        <v>107</v>
      </c>
      <c r="D153" s="6">
        <v>54900</v>
      </c>
      <c r="E153" s="6">
        <v>54900</v>
      </c>
      <c r="F153" s="7">
        <f t="shared" si="44"/>
        <v>0</v>
      </c>
      <c r="G153" s="6">
        <v>55793</v>
      </c>
      <c r="H153" s="7">
        <f t="shared" si="45"/>
        <v>-1.6005592099367305E-2</v>
      </c>
      <c r="J153" s="6">
        <v>50303</v>
      </c>
      <c r="K153" s="6">
        <v>50325</v>
      </c>
      <c r="L153" s="7">
        <f t="shared" si="46"/>
        <v>-4.3715846994535519E-4</v>
      </c>
    </row>
    <row r="154" spans="1:13" x14ac:dyDescent="0.25">
      <c r="B154" s="1" t="s">
        <v>106</v>
      </c>
      <c r="D154" s="6">
        <v>1400</v>
      </c>
      <c r="E154" s="6">
        <v>1600</v>
      </c>
      <c r="F154" s="7">
        <f t="shared" si="44"/>
        <v>-0.125</v>
      </c>
      <c r="G154" s="6">
        <v>524</v>
      </c>
      <c r="H154" s="7">
        <f t="shared" si="45"/>
        <v>1.6717557251908397</v>
      </c>
      <c r="J154" s="6">
        <v>908.96</v>
      </c>
      <c r="K154" s="6">
        <v>1466.63</v>
      </c>
      <c r="L154" s="7">
        <f t="shared" si="46"/>
        <v>-0.38023905143083125</v>
      </c>
    </row>
    <row r="155" spans="1:13" s="5" customFormat="1" x14ac:dyDescent="0.25">
      <c r="A155" s="36" t="s">
        <v>108</v>
      </c>
      <c r="B155" s="36"/>
      <c r="C155" s="36"/>
      <c r="D155" s="36">
        <f>SUM(D147:D154)</f>
        <v>85500</v>
      </c>
      <c r="E155" s="36">
        <f>SUM(E147:E154)</f>
        <v>84500</v>
      </c>
      <c r="F155" s="37">
        <f t="shared" si="44"/>
        <v>1.1834319526627219E-2</v>
      </c>
      <c r="G155" s="36">
        <f>SUM(G147:G154)</f>
        <v>83518</v>
      </c>
      <c r="H155" s="37">
        <f t="shared" si="45"/>
        <v>2.3731411192796762E-2</v>
      </c>
      <c r="J155" s="36">
        <f>SUM(J147:J154)</f>
        <v>79380.140000000014</v>
      </c>
      <c r="K155" s="36">
        <f>SUM(K147:K154)</f>
        <v>77791.63</v>
      </c>
      <c r="L155" s="37">
        <f t="shared" si="46"/>
        <v>2.0420063186746558E-2</v>
      </c>
      <c r="M155" s="14"/>
    </row>
    <row r="156" spans="1:13" x14ac:dyDescent="0.25">
      <c r="A156" s="36" t="s">
        <v>109</v>
      </c>
      <c r="B156" s="36"/>
      <c r="C156" s="36"/>
      <c r="D156" s="36">
        <f>+D144+D155</f>
        <v>128650</v>
      </c>
      <c r="E156" s="36">
        <f>+E144+E155</f>
        <v>126500</v>
      </c>
      <c r="F156" s="37">
        <f t="shared" si="44"/>
        <v>1.6996047430830039E-2</v>
      </c>
      <c r="G156" s="36">
        <f t="shared" ref="G156" si="47">+G144+G155</f>
        <v>122952</v>
      </c>
      <c r="H156" s="37">
        <f t="shared" si="45"/>
        <v>4.6343288437764328E-2</v>
      </c>
      <c r="J156" s="36">
        <f t="shared" ref="J156:K156" si="48">+J144+J155</f>
        <v>120643.66000000002</v>
      </c>
      <c r="K156" s="36">
        <f t="shared" si="48"/>
        <v>116616.63</v>
      </c>
      <c r="L156" s="37">
        <f t="shared" si="46"/>
        <v>3.4532210371711253E-2</v>
      </c>
    </row>
    <row r="157" spans="1:13" ht="4.5" customHeight="1" x14ac:dyDescent="0.25">
      <c r="F157" s="8"/>
    </row>
    <row r="158" spans="1:13" ht="18.75" x14ac:dyDescent="0.25">
      <c r="A158" s="11" t="s">
        <v>110</v>
      </c>
      <c r="F158" s="8"/>
    </row>
    <row r="159" spans="1:13" x14ac:dyDescent="0.25">
      <c r="A159" s="5" t="s">
        <v>111</v>
      </c>
      <c r="F159" s="8"/>
    </row>
    <row r="160" spans="1:13" x14ac:dyDescent="0.25">
      <c r="B160" s="1" t="s">
        <v>112</v>
      </c>
      <c r="D160" s="6">
        <v>0</v>
      </c>
      <c r="E160" s="6">
        <v>0</v>
      </c>
      <c r="F160" s="7" t="str">
        <f t="shared" ref="F160:F164" si="49">IF(E160=0,"NA",(+D160-E160)/E160)</f>
        <v>NA</v>
      </c>
      <c r="G160" s="6">
        <v>0</v>
      </c>
      <c r="H160" s="7" t="str">
        <f>IF(G160=0,"NA",(+D160-G160)/G160)</f>
        <v>NA</v>
      </c>
      <c r="J160" s="6">
        <v>0</v>
      </c>
      <c r="K160" s="6">
        <v>0</v>
      </c>
      <c r="L160" s="7" t="str">
        <f>IF(K160=0,"NA",(+J160-K160)/K160)</f>
        <v>NA</v>
      </c>
    </row>
    <row r="161" spans="1:13" x14ac:dyDescent="0.25">
      <c r="B161" s="1" t="s">
        <v>113</v>
      </c>
      <c r="D161" s="6">
        <v>5000</v>
      </c>
      <c r="E161" s="6">
        <v>5000</v>
      </c>
      <c r="F161" s="7">
        <f t="shared" si="49"/>
        <v>0</v>
      </c>
      <c r="G161" s="6">
        <v>4886</v>
      </c>
      <c r="H161" s="7">
        <f>IF(G161=0,"NA",(+D161-G161)/G161)</f>
        <v>2.3331968890708144E-2</v>
      </c>
      <c r="J161" s="6">
        <v>3750</v>
      </c>
      <c r="K161" s="6">
        <v>4583.37</v>
      </c>
      <c r="L161" s="7">
        <f>IF(K161=0,"NA",(+J161-K161)/K161)</f>
        <v>-0.18182472722036402</v>
      </c>
    </row>
    <row r="162" spans="1:13" x14ac:dyDescent="0.25">
      <c r="B162" s="1" t="s">
        <v>114</v>
      </c>
      <c r="D162" s="6">
        <v>0</v>
      </c>
      <c r="E162" s="6">
        <v>0</v>
      </c>
      <c r="F162" s="7" t="str">
        <f t="shared" si="49"/>
        <v>NA</v>
      </c>
      <c r="G162" s="6">
        <v>6500</v>
      </c>
      <c r="H162" s="7">
        <f>IF(G162=0,"NA",(+D162-G162)/G162)</f>
        <v>-1</v>
      </c>
      <c r="J162" s="6">
        <v>0</v>
      </c>
      <c r="K162" s="6">
        <v>0</v>
      </c>
      <c r="L162" s="7" t="str">
        <f>IF(K162=0,"NA",(+J162-K162)/K162)</f>
        <v>NA</v>
      </c>
    </row>
    <row r="163" spans="1:13" x14ac:dyDescent="0.25">
      <c r="B163" s="1" t="s">
        <v>115</v>
      </c>
      <c r="D163" s="6">
        <v>5000</v>
      </c>
      <c r="E163" s="6">
        <v>5000</v>
      </c>
      <c r="F163" s="7">
        <f t="shared" si="49"/>
        <v>0</v>
      </c>
      <c r="G163" s="6">
        <v>0</v>
      </c>
      <c r="H163" s="7" t="str">
        <f>IF(G163=0,"NA",(+D163-G163)/G163)</f>
        <v>NA</v>
      </c>
      <c r="J163" s="6">
        <v>10450</v>
      </c>
      <c r="K163" s="6">
        <v>4583.37</v>
      </c>
      <c r="L163" s="7">
        <f>IF(K163=0,"NA",(+J163-K163)/K163)</f>
        <v>1.2799817601459189</v>
      </c>
    </row>
    <row r="164" spans="1:13" s="5" customFormat="1" x14ac:dyDescent="0.25">
      <c r="A164" s="38" t="s">
        <v>116</v>
      </c>
      <c r="B164" s="38"/>
      <c r="C164" s="38"/>
      <c r="D164" s="38">
        <f>SUM(D160:D163)</f>
        <v>10000</v>
      </c>
      <c r="E164" s="38">
        <f>SUM(E160:E163)</f>
        <v>10000</v>
      </c>
      <c r="F164" s="39">
        <f t="shared" si="49"/>
        <v>0</v>
      </c>
      <c r="G164" s="38">
        <f>SUM(G160:G163)</f>
        <v>11386</v>
      </c>
      <c r="H164" s="39">
        <f>IF(G164=0,"NA",(+D164-G164)/G164)</f>
        <v>-0.12172843843316354</v>
      </c>
      <c r="J164" s="38">
        <f>SUM(J160:J163)</f>
        <v>14200</v>
      </c>
      <c r="K164" s="38">
        <f>SUM(K160:K163)</f>
        <v>9166.74</v>
      </c>
      <c r="L164" s="39">
        <f>IF(K164=0,"NA",(+J164-K164)/K164)</f>
        <v>0.54907851646277739</v>
      </c>
      <c r="M164" s="14"/>
    </row>
    <row r="165" spans="1:13" ht="7.5" customHeight="1" x14ac:dyDescent="0.25">
      <c r="F165" s="8"/>
    </row>
    <row r="166" spans="1:13" x14ac:dyDescent="0.25">
      <c r="A166" s="40" t="s">
        <v>117</v>
      </c>
      <c r="B166" s="41"/>
      <c r="C166" s="41"/>
      <c r="D166" s="40">
        <f>+D82+D133+D156+D164+D31</f>
        <v>572505</v>
      </c>
      <c r="E166" s="40">
        <f>+E82+E133+E156+E164+E31</f>
        <v>578306</v>
      </c>
      <c r="F166" s="42">
        <f t="shared" ref="F166:F167" si="50">IF(E166=0,"NA",(+D166-E166)/E166)</f>
        <v>-1.0031021639063057E-2</v>
      </c>
      <c r="G166" s="40">
        <f>+G82+G133+G156+G164+G31</f>
        <v>564589</v>
      </c>
      <c r="H166" s="42">
        <f>IF(G166=0,"NA",(+D166-G166)/G166)</f>
        <v>1.4020818684033872E-2</v>
      </c>
      <c r="J166" s="40">
        <f>+J82+J133+J156+J164+J31</f>
        <v>533020.59</v>
      </c>
      <c r="K166" s="40">
        <f>+K82+K133+K156+K164+K31</f>
        <v>527848.47</v>
      </c>
      <c r="L166" s="42">
        <f>IF(K166=0,"NA",(+J166-K166)/K166)</f>
        <v>9.7984938745772927E-3</v>
      </c>
    </row>
    <row r="167" spans="1:13" x14ac:dyDescent="0.25">
      <c r="A167" s="40" t="s">
        <v>118</v>
      </c>
      <c r="B167" s="41"/>
      <c r="C167" s="41"/>
      <c r="D167" s="40">
        <f>+D22-D166</f>
        <v>0</v>
      </c>
      <c r="E167" s="40">
        <f>+E22-E166</f>
        <v>694</v>
      </c>
      <c r="F167" s="42">
        <f t="shared" si="50"/>
        <v>-1</v>
      </c>
      <c r="G167" s="40">
        <f>+G22-G166</f>
        <v>5663</v>
      </c>
      <c r="H167" s="42">
        <f>IF(G167=0,"NA",(+D167-G167)/G167)</f>
        <v>-1</v>
      </c>
      <c r="J167" s="40">
        <f>+J22-J166</f>
        <v>545.29000000003725</v>
      </c>
      <c r="K167" s="40">
        <f>+K22-K166</f>
        <v>9496.6700000000419</v>
      </c>
      <c r="L167" s="42">
        <f>IF(K167=0,"NA",(+J167-K167)/K167)</f>
        <v>-0.94258092573501717</v>
      </c>
    </row>
    <row r="168" spans="1:13" x14ac:dyDescent="0.25">
      <c r="F168" s="8"/>
    </row>
    <row r="169" spans="1:13" x14ac:dyDescent="0.25">
      <c r="F169" s="8"/>
    </row>
    <row r="170" spans="1:13" x14ac:dyDescent="0.25">
      <c r="F170" s="8"/>
    </row>
    <row r="171" spans="1:13" x14ac:dyDescent="0.25">
      <c r="F171" s="8"/>
    </row>
    <row r="172" spans="1:13" x14ac:dyDescent="0.25">
      <c r="F172" s="8"/>
    </row>
    <row r="173" spans="1:13" x14ac:dyDescent="0.25">
      <c r="F173" s="8"/>
    </row>
    <row r="174" spans="1:13" x14ac:dyDescent="0.25">
      <c r="F174" s="8"/>
    </row>
    <row r="175" spans="1:13" x14ac:dyDescent="0.25">
      <c r="F175" s="8"/>
    </row>
    <row r="176" spans="1:13" x14ac:dyDescent="0.25">
      <c r="F176" s="8"/>
    </row>
    <row r="177" spans="6:6" x14ac:dyDescent="0.25">
      <c r="F177" s="8"/>
    </row>
    <row r="178" spans="6:6" x14ac:dyDescent="0.25">
      <c r="F178" s="8"/>
    </row>
    <row r="179" spans="6:6" x14ac:dyDescent="0.25">
      <c r="F179" s="8"/>
    </row>
    <row r="180" spans="6:6" x14ac:dyDescent="0.25">
      <c r="F180" s="8"/>
    </row>
    <row r="181" spans="6:6" x14ac:dyDescent="0.25">
      <c r="F181" s="8"/>
    </row>
    <row r="182" spans="6:6" x14ac:dyDescent="0.25">
      <c r="F182" s="8"/>
    </row>
    <row r="183" spans="6:6" x14ac:dyDescent="0.25">
      <c r="F183" s="8"/>
    </row>
    <row r="184" spans="6:6" x14ac:dyDescent="0.25">
      <c r="F184" s="8"/>
    </row>
    <row r="185" spans="6:6" x14ac:dyDescent="0.25">
      <c r="F185" s="8"/>
    </row>
    <row r="186" spans="6:6" x14ac:dyDescent="0.25">
      <c r="F186" s="8"/>
    </row>
    <row r="187" spans="6:6" x14ac:dyDescent="0.25">
      <c r="F187" s="8"/>
    </row>
    <row r="188" spans="6:6" x14ac:dyDescent="0.25">
      <c r="F188" s="8"/>
    </row>
    <row r="189" spans="6:6" x14ac:dyDescent="0.25">
      <c r="F189" s="8"/>
    </row>
  </sheetData>
  <mergeCells count="5">
    <mergeCell ref="B150:C150"/>
    <mergeCell ref="J3:L3"/>
    <mergeCell ref="D3:H3"/>
    <mergeCell ref="A1:M1"/>
    <mergeCell ref="A2:M2"/>
  </mergeCells>
  <pageMargins left="0" right="0" top="0" bottom="0" header="0.3" footer="0.3"/>
  <pageSetup scale="64" fitToHeight="0" orientation="portrait" r:id="rId1"/>
  <headerFooter>
    <oddFooter>&amp;C&amp;P of &amp;N&amp;R&amp;D</oddFooter>
  </headerFooter>
  <rowBreaks count="2" manualBreakCount="2">
    <brk id="72" max="16383" man="1"/>
    <brk id="13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89"/>
  <sheetViews>
    <sheetView showGridLines="0" workbookViewId="0">
      <selection sqref="A1:H1"/>
    </sheetView>
  </sheetViews>
  <sheetFormatPr defaultRowHeight="15" x14ac:dyDescent="0.25"/>
  <cols>
    <col min="1" max="1" width="4.28515625" style="5" customWidth="1"/>
    <col min="2" max="2" width="9.140625" style="1"/>
    <col min="3" max="3" width="24.7109375" style="1" customWidth="1"/>
    <col min="4" max="4" width="12.140625" style="1" customWidth="1"/>
    <col min="5" max="5" width="13.140625" style="49" customWidth="1"/>
    <col min="6" max="6" width="13.140625" style="66" customWidth="1"/>
    <col min="7" max="7" width="12.140625" style="1" customWidth="1"/>
    <col min="8" max="8" width="33.85546875" style="46" customWidth="1"/>
    <col min="9" max="9" width="10" style="1" bestFit="1" customWidth="1"/>
    <col min="10" max="10" width="11.5703125" style="1" bestFit="1" customWidth="1"/>
    <col min="11" max="16384" width="9.140625" style="1"/>
  </cols>
  <sheetData>
    <row r="1" spans="1:8" ht="41.25" customHeight="1" x14ac:dyDescent="0.25">
      <c r="A1" s="72" t="s">
        <v>129</v>
      </c>
      <c r="B1" s="72"/>
      <c r="C1" s="72"/>
      <c r="D1" s="72"/>
      <c r="E1" s="72"/>
      <c r="F1" s="72"/>
      <c r="G1" s="72"/>
      <c r="H1" s="72"/>
    </row>
    <row r="2" spans="1:8" ht="8.25" customHeight="1" x14ac:dyDescent="0.25">
      <c r="A2" s="73"/>
      <c r="B2" s="73"/>
      <c r="C2" s="73"/>
      <c r="D2" s="73"/>
      <c r="E2" s="73"/>
      <c r="F2" s="73"/>
      <c r="G2" s="73"/>
      <c r="H2" s="73"/>
    </row>
    <row r="3" spans="1:8" ht="23.25" customHeight="1" x14ac:dyDescent="0.25">
      <c r="D3" s="74" t="s">
        <v>124</v>
      </c>
      <c r="E3" s="75"/>
      <c r="F3" s="75"/>
      <c r="G3" s="76"/>
    </row>
    <row r="4" spans="1:8" s="5" customFormat="1" ht="59.25" customHeight="1" x14ac:dyDescent="0.25">
      <c r="D4" s="2" t="s">
        <v>163</v>
      </c>
      <c r="E4" s="48" t="s">
        <v>164</v>
      </c>
      <c r="F4" s="65" t="s">
        <v>166</v>
      </c>
      <c r="G4" s="65" t="s">
        <v>165</v>
      </c>
      <c r="H4" s="10" t="s">
        <v>167</v>
      </c>
    </row>
    <row r="5" spans="1:8" s="5" customFormat="1" ht="18.75" x14ac:dyDescent="0.25">
      <c r="A5" s="11" t="s">
        <v>0</v>
      </c>
      <c r="D5" s="12"/>
      <c r="E5" s="50"/>
      <c r="F5" s="67"/>
      <c r="G5" s="13"/>
      <c r="H5" s="14"/>
    </row>
    <row r="6" spans="1:8" x14ac:dyDescent="0.25">
      <c r="A6" s="5" t="s">
        <v>1</v>
      </c>
    </row>
    <row r="7" spans="1:8" x14ac:dyDescent="0.25">
      <c r="B7" s="1" t="s">
        <v>1</v>
      </c>
      <c r="D7" s="52">
        <f>+Final!D7</f>
        <v>549805</v>
      </c>
      <c r="E7" s="47">
        <v>557336.6</v>
      </c>
      <c r="F7" s="64">
        <f>+D7-E7</f>
        <v>-7531.5999999999767</v>
      </c>
      <c r="G7" s="7">
        <f>IF(E7=0,"NA",(+D7-E7)/E7)</f>
        <v>-1.3513557157380257E-2</v>
      </c>
      <c r="H7" s="46" t="s">
        <v>168</v>
      </c>
    </row>
    <row r="8" spans="1:8" x14ac:dyDescent="0.25">
      <c r="B8" s="1" t="s">
        <v>2</v>
      </c>
      <c r="D8" s="52">
        <f>+Final!D8</f>
        <v>0</v>
      </c>
      <c r="E8" s="47">
        <v>0</v>
      </c>
      <c r="F8" s="64">
        <f t="shared" ref="F8:F12" si="0">+D8-E8</f>
        <v>0</v>
      </c>
      <c r="G8" s="7" t="str">
        <f t="shared" ref="G8:G13" si="1">IF(E8=0,"NA",(+D8-E8)/E8)</f>
        <v>NA</v>
      </c>
    </row>
    <row r="9" spans="1:8" x14ac:dyDescent="0.25">
      <c r="B9" s="1" t="s">
        <v>3</v>
      </c>
      <c r="D9" s="52">
        <f>+Final!D9</f>
        <v>4000</v>
      </c>
      <c r="E9" s="47">
        <v>4000</v>
      </c>
      <c r="F9" s="64">
        <f t="shared" si="0"/>
        <v>0</v>
      </c>
      <c r="G9" s="7">
        <f t="shared" si="1"/>
        <v>0</v>
      </c>
    </row>
    <row r="10" spans="1:8" x14ac:dyDescent="0.25">
      <c r="B10" s="1" t="s">
        <v>4</v>
      </c>
      <c r="D10" s="52">
        <f>+Final!D10</f>
        <v>1000</v>
      </c>
      <c r="E10" s="47">
        <v>1000</v>
      </c>
      <c r="F10" s="64">
        <f t="shared" si="0"/>
        <v>0</v>
      </c>
      <c r="G10" s="7">
        <f t="shared" si="1"/>
        <v>0</v>
      </c>
    </row>
    <row r="11" spans="1:8" x14ac:dyDescent="0.25">
      <c r="B11" s="1" t="s">
        <v>5</v>
      </c>
      <c r="D11" s="52">
        <f>+Final!D11</f>
        <v>5000</v>
      </c>
      <c r="E11" s="47">
        <v>5000</v>
      </c>
      <c r="F11" s="64">
        <f t="shared" si="0"/>
        <v>0</v>
      </c>
      <c r="G11" s="7">
        <f t="shared" si="1"/>
        <v>0</v>
      </c>
    </row>
    <row r="12" spans="1:8" x14ac:dyDescent="0.25">
      <c r="B12" s="1" t="s">
        <v>6</v>
      </c>
      <c r="D12" s="52">
        <f>+Final!D12</f>
        <v>2700</v>
      </c>
      <c r="E12" s="47">
        <v>2700</v>
      </c>
      <c r="F12" s="64">
        <f t="shared" si="0"/>
        <v>0</v>
      </c>
      <c r="G12" s="7">
        <f t="shared" si="1"/>
        <v>0</v>
      </c>
    </row>
    <row r="13" spans="1:8" x14ac:dyDescent="0.25">
      <c r="A13" s="15" t="s">
        <v>7</v>
      </c>
      <c r="B13" s="15"/>
      <c r="C13" s="15"/>
      <c r="D13" s="15">
        <f>SUM(D7:D12)</f>
        <v>562505</v>
      </c>
      <c r="E13" s="53">
        <f>SUM(E7:E12)</f>
        <v>570036.6</v>
      </c>
      <c r="F13" s="53">
        <f>SUM(F7:F12)</f>
        <v>-7531.5999999999767</v>
      </c>
      <c r="G13" s="16">
        <f t="shared" si="1"/>
        <v>-1.321248495272054E-2</v>
      </c>
    </row>
    <row r="14" spans="1:8" ht="5.25" customHeight="1" x14ac:dyDescent="0.25">
      <c r="G14" s="8"/>
    </row>
    <row r="15" spans="1:8" x14ac:dyDescent="0.25">
      <c r="A15" s="5" t="s">
        <v>8</v>
      </c>
      <c r="G15" s="8"/>
    </row>
    <row r="16" spans="1:8" x14ac:dyDescent="0.25">
      <c r="B16" s="1" t="s">
        <v>9</v>
      </c>
      <c r="D16" s="52">
        <f>+Final!D16</f>
        <v>10000</v>
      </c>
      <c r="E16" s="47">
        <v>10000</v>
      </c>
      <c r="F16" s="64">
        <f t="shared" ref="F16:F20" si="2">+D16-E16</f>
        <v>0</v>
      </c>
      <c r="G16" s="7">
        <f t="shared" ref="G16:G22" si="3">IF(E16=0,"NA",(+D16-E16)/E16)</f>
        <v>0</v>
      </c>
      <c r="H16" s="17"/>
    </row>
    <row r="17" spans="1:8" x14ac:dyDescent="0.25">
      <c r="B17" s="1" t="s">
        <v>8</v>
      </c>
      <c r="D17" s="52">
        <f>+Final!D17</f>
        <v>0</v>
      </c>
      <c r="E17" s="47">
        <v>0</v>
      </c>
      <c r="F17" s="64">
        <f t="shared" si="2"/>
        <v>0</v>
      </c>
      <c r="G17" s="7" t="str">
        <f t="shared" si="3"/>
        <v>NA</v>
      </c>
    </row>
    <row r="18" spans="1:8" x14ac:dyDescent="0.25">
      <c r="B18" s="1" t="s">
        <v>10</v>
      </c>
      <c r="D18" s="52">
        <f>+Final!D18</f>
        <v>0</v>
      </c>
      <c r="E18" s="47">
        <v>0</v>
      </c>
      <c r="F18" s="64">
        <f t="shared" si="2"/>
        <v>0</v>
      </c>
      <c r="G18" s="7" t="str">
        <f t="shared" si="3"/>
        <v>NA</v>
      </c>
    </row>
    <row r="19" spans="1:8" x14ac:dyDescent="0.25">
      <c r="B19" s="1" t="s">
        <v>12</v>
      </c>
      <c r="D19" s="52">
        <f>+Final!D19</f>
        <v>0</v>
      </c>
      <c r="E19" s="47"/>
      <c r="F19" s="64">
        <f t="shared" si="2"/>
        <v>0</v>
      </c>
      <c r="G19" s="7" t="str">
        <f t="shared" si="3"/>
        <v>NA</v>
      </c>
    </row>
    <row r="20" spans="1:8" x14ac:dyDescent="0.25">
      <c r="B20" s="1" t="s">
        <v>154</v>
      </c>
      <c r="D20" s="52">
        <f>+Final!D20</f>
        <v>0</v>
      </c>
      <c r="E20" s="47">
        <v>0</v>
      </c>
      <c r="F20" s="64">
        <f t="shared" si="2"/>
        <v>0</v>
      </c>
      <c r="G20" s="7" t="str">
        <f t="shared" si="3"/>
        <v>NA</v>
      </c>
    </row>
    <row r="21" spans="1:8" x14ac:dyDescent="0.25">
      <c r="A21" s="15" t="s">
        <v>11</v>
      </c>
      <c r="B21" s="15"/>
      <c r="C21" s="15"/>
      <c r="D21" s="15">
        <f>SUM(D16:D20)</f>
        <v>10000</v>
      </c>
      <c r="E21" s="53">
        <f>SUM(E16:E20)</f>
        <v>10000</v>
      </c>
      <c r="F21" s="53">
        <f>SUM(F16:F20)</f>
        <v>0</v>
      </c>
      <c r="G21" s="16">
        <f t="shared" si="3"/>
        <v>0</v>
      </c>
    </row>
    <row r="22" spans="1:8" x14ac:dyDescent="0.25">
      <c r="A22" s="15" t="s">
        <v>14</v>
      </c>
      <c r="B22" s="15"/>
      <c r="C22" s="15"/>
      <c r="D22" s="15">
        <f>+D13+D21</f>
        <v>572505</v>
      </c>
      <c r="E22" s="53">
        <f>+E13+E21</f>
        <v>580036.6</v>
      </c>
      <c r="F22" s="53">
        <f>+F13+F21</f>
        <v>-7531.5999999999767</v>
      </c>
      <c r="G22" s="16">
        <f t="shared" si="3"/>
        <v>-1.2984697862169348E-2</v>
      </c>
    </row>
    <row r="23" spans="1:8" ht="6" customHeight="1" x14ac:dyDescent="0.25">
      <c r="G23" s="8"/>
    </row>
    <row r="24" spans="1:8" ht="18.75" x14ac:dyDescent="0.25">
      <c r="A24" s="11" t="s">
        <v>15</v>
      </c>
      <c r="G24" s="8"/>
    </row>
    <row r="25" spans="1:8" ht="18.75" x14ac:dyDescent="0.25">
      <c r="A25" s="11" t="s">
        <v>146</v>
      </c>
      <c r="G25" s="8"/>
    </row>
    <row r="26" spans="1:8" x14ac:dyDescent="0.25">
      <c r="B26" s="1" t="s">
        <v>17</v>
      </c>
      <c r="D26" s="52">
        <f>+Final!D26</f>
        <v>572505</v>
      </c>
      <c r="E26" s="49">
        <f>+E22</f>
        <v>580036.6</v>
      </c>
      <c r="F26" s="64">
        <f t="shared" ref="F26:F30" si="4">+D26-E26</f>
        <v>-7531.5999999999767</v>
      </c>
      <c r="G26" s="8"/>
    </row>
    <row r="27" spans="1:8" x14ac:dyDescent="0.25">
      <c r="B27" s="1" t="s">
        <v>16</v>
      </c>
      <c r="D27" s="52">
        <f>+Final!D27</f>
        <v>-54900</v>
      </c>
      <c r="E27" s="47">
        <v>-54876</v>
      </c>
      <c r="F27" s="64">
        <f t="shared" si="4"/>
        <v>-24</v>
      </c>
      <c r="G27" s="8"/>
      <c r="H27" s="46" t="s">
        <v>170</v>
      </c>
    </row>
    <row r="28" spans="1:8" x14ac:dyDescent="0.25">
      <c r="B28" s="1" t="s">
        <v>18</v>
      </c>
      <c r="D28" s="52">
        <f>+Final!D28</f>
        <v>-5000</v>
      </c>
      <c r="E28" s="47">
        <v>-5000</v>
      </c>
      <c r="F28" s="64">
        <f t="shared" si="4"/>
        <v>0</v>
      </c>
      <c r="G28" s="8"/>
      <c r="H28" s="46" t="s">
        <v>170</v>
      </c>
    </row>
    <row r="29" spans="1:8" x14ac:dyDescent="0.25">
      <c r="B29" s="1" t="s">
        <v>19</v>
      </c>
      <c r="D29" s="52">
        <f>+Final!D29</f>
        <v>-1400</v>
      </c>
      <c r="E29" s="47">
        <v>-660</v>
      </c>
      <c r="F29" s="64">
        <f t="shared" si="4"/>
        <v>-740</v>
      </c>
      <c r="G29" s="8"/>
      <c r="H29" s="46" t="s">
        <v>170</v>
      </c>
    </row>
    <row r="30" spans="1:8" x14ac:dyDescent="0.25">
      <c r="B30" s="1" t="s">
        <v>17</v>
      </c>
      <c r="D30" s="52">
        <f>+Final!D30</f>
        <v>511205</v>
      </c>
      <c r="E30" s="49">
        <f>SUM(E26:E29)</f>
        <v>519500.6</v>
      </c>
      <c r="F30" s="64">
        <f t="shared" si="4"/>
        <v>-8295.5999999999767</v>
      </c>
      <c r="G30" s="8"/>
    </row>
    <row r="31" spans="1:8" s="5" customFormat="1" x14ac:dyDescent="0.25">
      <c r="A31" s="18"/>
      <c r="B31" s="19" t="s">
        <v>147</v>
      </c>
      <c r="C31" s="18"/>
      <c r="D31" s="18">
        <f>ROUND(+D30*0.1,0)</f>
        <v>51121</v>
      </c>
      <c r="E31" s="54">
        <f>ROUND(+E30*0.1,0)</f>
        <v>51950</v>
      </c>
      <c r="F31" s="54">
        <f>ROUND(+F30*0.1,0)</f>
        <v>-830</v>
      </c>
      <c r="G31" s="21">
        <f>IF(E31=0,"NA",(+D31-E31)/E31)</f>
        <v>-1.5957651588065447E-2</v>
      </c>
      <c r="H31" s="14" t="s">
        <v>142</v>
      </c>
    </row>
    <row r="32" spans="1:8" s="5" customFormat="1" ht="6.75" customHeight="1" x14ac:dyDescent="0.25">
      <c r="A32" s="22"/>
      <c r="B32" s="23"/>
      <c r="C32" s="22"/>
      <c r="D32" s="22"/>
      <c r="E32" s="55"/>
      <c r="F32" s="55"/>
      <c r="G32" s="25"/>
      <c r="H32" s="14"/>
    </row>
    <row r="33" spans="1:8" s="5" customFormat="1" ht="18.75" x14ac:dyDescent="0.25">
      <c r="A33" s="26" t="s">
        <v>91</v>
      </c>
      <c r="B33" s="23"/>
      <c r="C33" s="22"/>
      <c r="D33" s="22"/>
      <c r="E33" s="55"/>
      <c r="F33" s="55"/>
      <c r="G33" s="25"/>
      <c r="H33" s="14"/>
    </row>
    <row r="34" spans="1:8" x14ac:dyDescent="0.25">
      <c r="A34" s="5" t="s">
        <v>20</v>
      </c>
      <c r="G34" s="8"/>
    </row>
    <row r="35" spans="1:8" x14ac:dyDescent="0.25">
      <c r="B35" s="1" t="s">
        <v>121</v>
      </c>
      <c r="D35" s="52">
        <f>+Final!D35</f>
        <v>4000</v>
      </c>
      <c r="E35" s="47">
        <v>4000</v>
      </c>
      <c r="F35" s="64">
        <f t="shared" ref="F35:F40" si="5">+D35-E35</f>
        <v>0</v>
      </c>
      <c r="G35" s="7">
        <f t="shared" ref="G35:G41" si="6">IF(E35=0,"NA",(+D35-E35)/E35)</f>
        <v>0</v>
      </c>
    </row>
    <row r="36" spans="1:8" x14ac:dyDescent="0.25">
      <c r="B36" s="1" t="s">
        <v>21</v>
      </c>
      <c r="D36" s="52">
        <f>+Final!D36</f>
        <v>750</v>
      </c>
      <c r="E36" s="47">
        <v>750</v>
      </c>
      <c r="F36" s="64">
        <f t="shared" si="5"/>
        <v>0</v>
      </c>
      <c r="G36" s="7">
        <f t="shared" si="6"/>
        <v>0</v>
      </c>
    </row>
    <row r="37" spans="1:8" x14ac:dyDescent="0.25">
      <c r="B37" s="1" t="s">
        <v>22</v>
      </c>
      <c r="D37" s="52">
        <f>+Final!D37</f>
        <v>750</v>
      </c>
      <c r="E37" s="47">
        <v>750</v>
      </c>
      <c r="F37" s="64">
        <f t="shared" si="5"/>
        <v>0</v>
      </c>
      <c r="G37" s="7">
        <f t="shared" si="6"/>
        <v>0</v>
      </c>
    </row>
    <row r="38" spans="1:8" x14ac:dyDescent="0.25">
      <c r="B38" s="1" t="s">
        <v>23</v>
      </c>
      <c r="D38" s="52">
        <f>+Final!D38</f>
        <v>500</v>
      </c>
      <c r="E38" s="47">
        <v>500</v>
      </c>
      <c r="F38" s="64">
        <f t="shared" si="5"/>
        <v>0</v>
      </c>
      <c r="G38" s="7">
        <f t="shared" si="6"/>
        <v>0</v>
      </c>
    </row>
    <row r="39" spans="1:8" x14ac:dyDescent="0.25">
      <c r="B39" s="1" t="s">
        <v>24</v>
      </c>
      <c r="D39" s="52">
        <f>+Final!D39</f>
        <v>200</v>
      </c>
      <c r="E39" s="47">
        <v>200</v>
      </c>
      <c r="F39" s="64">
        <f t="shared" si="5"/>
        <v>0</v>
      </c>
      <c r="G39" s="7">
        <f t="shared" si="6"/>
        <v>0</v>
      </c>
    </row>
    <row r="40" spans="1:8" x14ac:dyDescent="0.25">
      <c r="B40" s="1" t="s">
        <v>130</v>
      </c>
      <c r="D40" s="52">
        <f>+Final!D40</f>
        <v>1000</v>
      </c>
      <c r="E40" s="47">
        <v>1000</v>
      </c>
      <c r="F40" s="64">
        <f t="shared" si="5"/>
        <v>0</v>
      </c>
      <c r="G40" s="7">
        <f t="shared" si="6"/>
        <v>0</v>
      </c>
    </row>
    <row r="41" spans="1:8" s="5" customFormat="1" x14ac:dyDescent="0.25">
      <c r="A41" s="27" t="s">
        <v>25</v>
      </c>
      <c r="B41" s="27"/>
      <c r="C41" s="27"/>
      <c r="D41" s="27">
        <f>SUM(D35:D40)</f>
        <v>7200</v>
      </c>
      <c r="E41" s="56">
        <f>SUM(E35:E40)</f>
        <v>7200</v>
      </c>
      <c r="F41" s="56">
        <f>SUM(F35:F40)</f>
        <v>0</v>
      </c>
      <c r="G41" s="28">
        <f t="shared" si="6"/>
        <v>0</v>
      </c>
      <c r="H41" s="14"/>
    </row>
    <row r="42" spans="1:8" ht="6" customHeight="1" x14ac:dyDescent="0.25">
      <c r="G42" s="8"/>
    </row>
    <row r="43" spans="1:8" x14ac:dyDescent="0.25">
      <c r="A43" s="27" t="s">
        <v>26</v>
      </c>
      <c r="B43" s="27"/>
      <c r="C43" s="27"/>
      <c r="D43" s="51">
        <f>+Final!D43</f>
        <v>1100</v>
      </c>
      <c r="E43" s="57">
        <v>1100</v>
      </c>
      <c r="F43" s="56">
        <f>+D43-E43</f>
        <v>0</v>
      </c>
      <c r="G43" s="28">
        <f>IF(E43=0,"NA",(+D43-E43)/E43)</f>
        <v>0</v>
      </c>
    </row>
    <row r="44" spans="1:8" ht="7.5" customHeight="1" x14ac:dyDescent="0.25">
      <c r="G44" s="8"/>
    </row>
    <row r="45" spans="1:8" x14ac:dyDescent="0.25">
      <c r="A45" s="5" t="s">
        <v>27</v>
      </c>
      <c r="G45" s="8"/>
    </row>
    <row r="46" spans="1:8" x14ac:dyDescent="0.25">
      <c r="B46" s="1" t="s">
        <v>29</v>
      </c>
      <c r="D46" s="52">
        <f>+Final!D46</f>
        <v>4000</v>
      </c>
      <c r="E46" s="47">
        <v>4000</v>
      </c>
      <c r="F46" s="64">
        <f t="shared" ref="F46:F49" si="7">+D46-E46</f>
        <v>0</v>
      </c>
      <c r="G46" s="7">
        <f t="shared" ref="G46:G50" si="8">IF(E46=0,"NA",(+D46-E46)/E46)</f>
        <v>0</v>
      </c>
    </row>
    <row r="47" spans="1:8" x14ac:dyDescent="0.25">
      <c r="B47" s="1" t="s">
        <v>30</v>
      </c>
      <c r="D47" s="52">
        <f>+Final!D47</f>
        <v>2600</v>
      </c>
      <c r="E47" s="47">
        <f>ROUND(52*50,0)</f>
        <v>2600</v>
      </c>
      <c r="F47" s="64">
        <f t="shared" si="7"/>
        <v>0</v>
      </c>
      <c r="G47" s="7">
        <f t="shared" si="8"/>
        <v>0</v>
      </c>
    </row>
    <row r="48" spans="1:8" x14ac:dyDescent="0.25">
      <c r="B48" s="1" t="s">
        <v>31</v>
      </c>
      <c r="D48" s="52">
        <f>+Final!D48</f>
        <v>1200</v>
      </c>
      <c r="E48" s="47">
        <v>1500</v>
      </c>
      <c r="F48" s="64">
        <f t="shared" si="7"/>
        <v>-300</v>
      </c>
      <c r="G48" s="7">
        <f t="shared" si="8"/>
        <v>-0.2</v>
      </c>
      <c r="H48" s="46" t="s">
        <v>169</v>
      </c>
    </row>
    <row r="49" spans="1:8" x14ac:dyDescent="0.25">
      <c r="B49" s="1" t="s">
        <v>32</v>
      </c>
      <c r="D49" s="52">
        <f>+Final!D49</f>
        <v>300</v>
      </c>
      <c r="E49" s="47">
        <v>500</v>
      </c>
      <c r="F49" s="64">
        <f t="shared" si="7"/>
        <v>-200</v>
      </c>
      <c r="G49" s="7">
        <f t="shared" si="8"/>
        <v>-0.4</v>
      </c>
      <c r="H49" s="46" t="s">
        <v>169</v>
      </c>
    </row>
    <row r="50" spans="1:8" s="5" customFormat="1" x14ac:dyDescent="0.25">
      <c r="A50" s="27" t="s">
        <v>28</v>
      </c>
      <c r="B50" s="27"/>
      <c r="C50" s="27"/>
      <c r="D50" s="27">
        <f>SUM(D46:D49)</f>
        <v>8100</v>
      </c>
      <c r="E50" s="56">
        <f>SUM(E46:E49)</f>
        <v>8600</v>
      </c>
      <c r="F50" s="56">
        <f>SUM(F46:F49)</f>
        <v>-500</v>
      </c>
      <c r="G50" s="28">
        <f t="shared" si="8"/>
        <v>-5.8139534883720929E-2</v>
      </c>
      <c r="H50" s="14"/>
    </row>
    <row r="51" spans="1:8" ht="6.75" customHeight="1" x14ac:dyDescent="0.25">
      <c r="G51" s="8"/>
    </row>
    <row r="52" spans="1:8" x14ac:dyDescent="0.25">
      <c r="A52" s="5" t="s">
        <v>33</v>
      </c>
      <c r="G52" s="8"/>
    </row>
    <row r="53" spans="1:8" x14ac:dyDescent="0.25">
      <c r="B53" s="1" t="s">
        <v>34</v>
      </c>
      <c r="D53" s="52">
        <f>+Final!D53</f>
        <v>5000</v>
      </c>
      <c r="E53" s="47">
        <v>5000</v>
      </c>
      <c r="F53" s="64">
        <f t="shared" ref="F53:F55" si="9">+D53-E53</f>
        <v>0</v>
      </c>
      <c r="G53" s="7">
        <f t="shared" ref="G53:G56" si="10">IF(E53=0,"NA",(+D53-E53)/E53)</f>
        <v>0</v>
      </c>
    </row>
    <row r="54" spans="1:8" x14ac:dyDescent="0.25">
      <c r="B54" s="1" t="s">
        <v>155</v>
      </c>
      <c r="D54" s="52">
        <f>+Final!D54</f>
        <v>2000</v>
      </c>
      <c r="E54" s="47">
        <v>2000</v>
      </c>
      <c r="F54" s="64">
        <f t="shared" si="9"/>
        <v>0</v>
      </c>
      <c r="G54" s="7">
        <f t="shared" si="10"/>
        <v>0</v>
      </c>
    </row>
    <row r="55" spans="1:8" x14ac:dyDescent="0.25">
      <c r="B55" s="1" t="s">
        <v>159</v>
      </c>
      <c r="D55" s="52">
        <f>+Final!D55</f>
        <v>0</v>
      </c>
      <c r="E55" s="47">
        <v>600</v>
      </c>
      <c r="F55" s="64">
        <f t="shared" si="9"/>
        <v>-600</v>
      </c>
      <c r="G55" s="7">
        <f t="shared" si="10"/>
        <v>-1</v>
      </c>
      <c r="H55" s="46" t="s">
        <v>169</v>
      </c>
    </row>
    <row r="56" spans="1:8" s="5" customFormat="1" x14ac:dyDescent="0.25">
      <c r="A56" s="27" t="s">
        <v>35</v>
      </c>
      <c r="B56" s="27"/>
      <c r="C56" s="27"/>
      <c r="D56" s="27">
        <f>SUM(D53:D55)</f>
        <v>7000</v>
      </c>
      <c r="E56" s="56">
        <f>SUM(E53:E55)</f>
        <v>7600</v>
      </c>
      <c r="F56" s="56">
        <f>SUM(F53:F55)</f>
        <v>-600</v>
      </c>
      <c r="G56" s="28">
        <f t="shared" si="10"/>
        <v>-7.8947368421052627E-2</v>
      </c>
      <c r="H56" s="14"/>
    </row>
    <row r="57" spans="1:8" ht="6.75" customHeight="1" x14ac:dyDescent="0.25">
      <c r="G57" s="8"/>
    </row>
    <row r="58" spans="1:8" x14ac:dyDescent="0.25">
      <c r="A58" s="5" t="s">
        <v>153</v>
      </c>
      <c r="G58" s="8"/>
    </row>
    <row r="59" spans="1:8" x14ac:dyDescent="0.25">
      <c r="B59" s="1" t="s">
        <v>156</v>
      </c>
      <c r="D59" s="52">
        <f>+Final!D59</f>
        <v>300</v>
      </c>
      <c r="E59" s="47">
        <v>400</v>
      </c>
      <c r="F59" s="64">
        <f t="shared" ref="F59:F60" si="11">+D59-E59</f>
        <v>-100</v>
      </c>
      <c r="G59" s="7">
        <f t="shared" ref="G59:G61" si="12">IF(E59=0,"NA",(+D59-E59)/E59)</f>
        <v>-0.25</v>
      </c>
      <c r="H59" s="46" t="s">
        <v>169</v>
      </c>
    </row>
    <row r="60" spans="1:8" x14ac:dyDescent="0.25">
      <c r="B60" s="1" t="s">
        <v>134</v>
      </c>
      <c r="D60" s="52">
        <f>+Final!D60</f>
        <v>500</v>
      </c>
      <c r="E60" s="47">
        <v>500</v>
      </c>
      <c r="F60" s="64">
        <f t="shared" si="11"/>
        <v>0</v>
      </c>
      <c r="G60" s="7">
        <f t="shared" si="12"/>
        <v>0</v>
      </c>
    </row>
    <row r="61" spans="1:8" s="5" customFormat="1" x14ac:dyDescent="0.25">
      <c r="A61" s="27" t="s">
        <v>133</v>
      </c>
      <c r="B61" s="27"/>
      <c r="C61" s="27"/>
      <c r="D61" s="27">
        <f>SUM(D59:D60)</f>
        <v>800</v>
      </c>
      <c r="E61" s="56">
        <f>SUM(E59:E60)</f>
        <v>900</v>
      </c>
      <c r="F61" s="56">
        <f>SUM(F59:F60)</f>
        <v>-100</v>
      </c>
      <c r="G61" s="28">
        <f t="shared" si="12"/>
        <v>-0.1111111111111111</v>
      </c>
      <c r="H61" s="14"/>
    </row>
    <row r="62" spans="1:8" ht="5.25" customHeight="1" x14ac:dyDescent="0.25">
      <c r="G62" s="8"/>
    </row>
    <row r="63" spans="1:8" x14ac:dyDescent="0.25">
      <c r="A63" s="27" t="s">
        <v>36</v>
      </c>
      <c r="B63" s="30"/>
      <c r="C63" s="30"/>
      <c r="D63" s="51">
        <f>+Final!D63</f>
        <v>200</v>
      </c>
      <c r="E63" s="58">
        <v>200</v>
      </c>
      <c r="F63" s="56">
        <f>+D63-E63</f>
        <v>0</v>
      </c>
      <c r="G63" s="28">
        <f>IF(E63=0,"NA",(+D63-E63)/E63)</f>
        <v>0</v>
      </c>
    </row>
    <row r="64" spans="1:8" ht="6" customHeight="1" x14ac:dyDescent="0.25">
      <c r="G64" s="8"/>
    </row>
    <row r="65" spans="1:8" x14ac:dyDescent="0.25">
      <c r="A65" s="5" t="s">
        <v>37</v>
      </c>
      <c r="G65" s="8"/>
    </row>
    <row r="66" spans="1:8" x14ac:dyDescent="0.25">
      <c r="B66" s="1" t="s">
        <v>38</v>
      </c>
      <c r="D66" s="52">
        <f>+Final!D66</f>
        <v>600</v>
      </c>
      <c r="E66" s="47">
        <v>600</v>
      </c>
      <c r="F66" s="64">
        <f t="shared" ref="F66:F70" si="13">+D66-E66</f>
        <v>0</v>
      </c>
      <c r="G66" s="7">
        <f t="shared" ref="G66:G71" si="14">IF(E66=0,"NA",(+D66-E66)/E66)</f>
        <v>0</v>
      </c>
    </row>
    <row r="67" spans="1:8" x14ac:dyDescent="0.25">
      <c r="B67" s="1" t="s">
        <v>39</v>
      </c>
      <c r="D67" s="52">
        <f>+Final!D67</f>
        <v>1000</v>
      </c>
      <c r="E67" s="47">
        <v>1000</v>
      </c>
      <c r="F67" s="64">
        <f t="shared" si="13"/>
        <v>0</v>
      </c>
      <c r="G67" s="7">
        <f t="shared" si="14"/>
        <v>0</v>
      </c>
    </row>
    <row r="68" spans="1:8" x14ac:dyDescent="0.25">
      <c r="B68" s="1" t="s">
        <v>40</v>
      </c>
      <c r="D68" s="52">
        <f>+Final!D68</f>
        <v>700</v>
      </c>
      <c r="E68" s="47">
        <v>700</v>
      </c>
      <c r="F68" s="64">
        <f t="shared" si="13"/>
        <v>0</v>
      </c>
      <c r="G68" s="7">
        <f t="shared" si="14"/>
        <v>0</v>
      </c>
    </row>
    <row r="69" spans="1:8" x14ac:dyDescent="0.25">
      <c r="B69" s="1" t="s">
        <v>41</v>
      </c>
      <c r="D69" s="52">
        <f>+Final!D69</f>
        <v>800</v>
      </c>
      <c r="E69" s="47">
        <v>800</v>
      </c>
      <c r="F69" s="64">
        <f t="shared" si="13"/>
        <v>0</v>
      </c>
      <c r="G69" s="7">
        <f t="shared" si="14"/>
        <v>0</v>
      </c>
    </row>
    <row r="70" spans="1:8" x14ac:dyDescent="0.25">
      <c r="B70" s="1" t="s">
        <v>42</v>
      </c>
      <c r="D70" s="52">
        <f>+Final!D70</f>
        <v>800</v>
      </c>
      <c r="E70" s="47">
        <v>800</v>
      </c>
      <c r="F70" s="64">
        <f t="shared" si="13"/>
        <v>0</v>
      </c>
      <c r="G70" s="7">
        <f t="shared" si="14"/>
        <v>0</v>
      </c>
    </row>
    <row r="71" spans="1:8" s="5" customFormat="1" x14ac:dyDescent="0.25">
      <c r="A71" s="27" t="s">
        <v>43</v>
      </c>
      <c r="B71" s="27"/>
      <c r="C71" s="27"/>
      <c r="D71" s="27">
        <f>SUM(D66:D70)</f>
        <v>3900</v>
      </c>
      <c r="E71" s="56">
        <f>SUM(E66:E70)</f>
        <v>3900</v>
      </c>
      <c r="F71" s="56">
        <f>SUM(F66:F70)</f>
        <v>0</v>
      </c>
      <c r="G71" s="28">
        <f t="shared" si="14"/>
        <v>0</v>
      </c>
      <c r="H71" s="14"/>
    </row>
    <row r="72" spans="1:8" ht="6" customHeight="1" x14ac:dyDescent="0.25">
      <c r="G72" s="8"/>
    </row>
    <row r="73" spans="1:8" x14ac:dyDescent="0.25">
      <c r="A73" s="5" t="s">
        <v>44</v>
      </c>
      <c r="G73" s="8"/>
    </row>
    <row r="74" spans="1:8" x14ac:dyDescent="0.25">
      <c r="B74" s="1" t="s">
        <v>45</v>
      </c>
      <c r="D74" s="52">
        <f>+Final!D74</f>
        <v>6000</v>
      </c>
      <c r="E74" s="47">
        <v>6000</v>
      </c>
      <c r="F74" s="64">
        <f t="shared" ref="F74:F80" si="15">+D74-E74</f>
        <v>0</v>
      </c>
      <c r="G74" s="7">
        <f t="shared" ref="G74:G82" si="16">IF(E74=0,"NA",(+D74-E74)/E74)</f>
        <v>0</v>
      </c>
    </row>
    <row r="75" spans="1:8" x14ac:dyDescent="0.25">
      <c r="B75" s="1" t="s">
        <v>46</v>
      </c>
      <c r="D75" s="52">
        <f>+Final!D75</f>
        <v>5500</v>
      </c>
      <c r="E75" s="47">
        <v>5500</v>
      </c>
      <c r="F75" s="64">
        <f t="shared" si="15"/>
        <v>0</v>
      </c>
      <c r="G75" s="7">
        <f t="shared" si="16"/>
        <v>0</v>
      </c>
    </row>
    <row r="76" spans="1:8" x14ac:dyDescent="0.25">
      <c r="B76" s="1" t="s">
        <v>157</v>
      </c>
      <c r="D76" s="52">
        <f>+Final!D76</f>
        <v>500</v>
      </c>
      <c r="E76" s="47">
        <v>500</v>
      </c>
      <c r="F76" s="64">
        <f t="shared" si="15"/>
        <v>0</v>
      </c>
      <c r="G76" s="7">
        <f t="shared" si="16"/>
        <v>0</v>
      </c>
    </row>
    <row r="77" spans="1:8" x14ac:dyDescent="0.25">
      <c r="B77" s="1" t="s">
        <v>47</v>
      </c>
      <c r="D77" s="52">
        <f>+Final!D77</f>
        <v>253</v>
      </c>
      <c r="E77" s="47">
        <v>400</v>
      </c>
      <c r="F77" s="64">
        <f t="shared" si="15"/>
        <v>-147</v>
      </c>
      <c r="G77" s="7">
        <f t="shared" si="16"/>
        <v>-0.36749999999999999</v>
      </c>
      <c r="H77" s="46" t="s">
        <v>169</v>
      </c>
    </row>
    <row r="78" spans="1:8" x14ac:dyDescent="0.25">
      <c r="B78" s="1" t="s">
        <v>48</v>
      </c>
      <c r="D78" s="52">
        <f>+Final!D78</f>
        <v>18000</v>
      </c>
      <c r="E78" s="47">
        <v>18000</v>
      </c>
      <c r="F78" s="64">
        <f t="shared" si="15"/>
        <v>0</v>
      </c>
      <c r="G78" s="7">
        <f t="shared" si="16"/>
        <v>0</v>
      </c>
    </row>
    <row r="79" spans="1:8" x14ac:dyDescent="0.25">
      <c r="B79" s="1" t="s">
        <v>49</v>
      </c>
      <c r="D79" s="52">
        <f>+Final!D79</f>
        <v>1000</v>
      </c>
      <c r="E79" s="47">
        <v>1000</v>
      </c>
      <c r="F79" s="64">
        <f t="shared" si="15"/>
        <v>0</v>
      </c>
      <c r="G79" s="7">
        <f t="shared" si="16"/>
        <v>0</v>
      </c>
    </row>
    <row r="80" spans="1:8" x14ac:dyDescent="0.25">
      <c r="B80" s="1" t="s">
        <v>50</v>
      </c>
      <c r="D80" s="52">
        <f>+Final!D80</f>
        <v>1000</v>
      </c>
      <c r="E80" s="47">
        <v>1000</v>
      </c>
      <c r="F80" s="64">
        <f t="shared" si="15"/>
        <v>0</v>
      </c>
      <c r="G80" s="7">
        <f t="shared" si="16"/>
        <v>0</v>
      </c>
    </row>
    <row r="81" spans="1:8" s="5" customFormat="1" x14ac:dyDescent="0.25">
      <c r="A81" s="27" t="s">
        <v>53</v>
      </c>
      <c r="B81" s="27"/>
      <c r="C81" s="27"/>
      <c r="D81" s="27">
        <f>SUM(D74:D80)</f>
        <v>32253</v>
      </c>
      <c r="E81" s="56">
        <f>SUM(E74:E80)</f>
        <v>32400</v>
      </c>
      <c r="F81" s="56">
        <f>SUM(F74:F80)</f>
        <v>-147</v>
      </c>
      <c r="G81" s="28">
        <f t="shared" si="16"/>
        <v>-4.5370370370370373E-3</v>
      </c>
      <c r="H81" s="14"/>
    </row>
    <row r="82" spans="1:8" x14ac:dyDescent="0.25">
      <c r="A82" s="27" t="s">
        <v>132</v>
      </c>
      <c r="B82" s="32"/>
      <c r="C82" s="32"/>
      <c r="D82" s="27">
        <f>+D41+D43+D50+D56+D63+D71+D81+D61</f>
        <v>60553</v>
      </c>
      <c r="E82" s="56">
        <f>+E41+E43+E50+E56+E63+E71+E81+E61</f>
        <v>61900</v>
      </c>
      <c r="F82" s="56">
        <f>+F41+F43+F50+F56+F63+F71+F81+F61</f>
        <v>-1347</v>
      </c>
      <c r="G82" s="28">
        <f t="shared" si="16"/>
        <v>-2.1760904684975768E-2</v>
      </c>
    </row>
    <row r="83" spans="1:8" ht="8.25" customHeight="1" x14ac:dyDescent="0.25">
      <c r="G83" s="8"/>
    </row>
    <row r="84" spans="1:8" ht="18.75" x14ac:dyDescent="0.25">
      <c r="A84" s="11" t="s">
        <v>51</v>
      </c>
      <c r="G84" s="8"/>
    </row>
    <row r="85" spans="1:8" x14ac:dyDescent="0.25">
      <c r="A85" s="5" t="s">
        <v>52</v>
      </c>
      <c r="D85" s="45"/>
      <c r="E85" s="59"/>
      <c r="F85" s="59"/>
      <c r="G85" s="8"/>
    </row>
    <row r="86" spans="1:8" ht="30" x14ac:dyDescent="0.25">
      <c r="B86" s="1" t="s">
        <v>54</v>
      </c>
      <c r="D86" s="52">
        <f>+Final!D86</f>
        <v>89731</v>
      </c>
      <c r="E86" s="47">
        <v>90627.4</v>
      </c>
      <c r="F86" s="64">
        <f t="shared" ref="F86:F90" si="17">+D86-E86</f>
        <v>-896.39999999999418</v>
      </c>
      <c r="G86" s="7">
        <f t="shared" ref="G86:G91" si="18">IF(E86=0,"NA",(+D86-E86)/E86)</f>
        <v>-9.8910484025801718E-3</v>
      </c>
      <c r="H86" s="46" t="s">
        <v>171</v>
      </c>
    </row>
    <row r="87" spans="1:8" x14ac:dyDescent="0.25">
      <c r="B87" s="1" t="s">
        <v>55</v>
      </c>
      <c r="D87" s="52">
        <f>+Final!D87</f>
        <v>5500</v>
      </c>
      <c r="E87" s="47">
        <v>5500</v>
      </c>
      <c r="F87" s="64">
        <f t="shared" si="17"/>
        <v>0</v>
      </c>
      <c r="G87" s="7">
        <f t="shared" si="18"/>
        <v>0</v>
      </c>
    </row>
    <row r="88" spans="1:8" ht="30" x14ac:dyDescent="0.25">
      <c r="B88" s="1" t="s">
        <v>56</v>
      </c>
      <c r="D88" s="52">
        <f>+Final!D88</f>
        <v>34149</v>
      </c>
      <c r="E88" s="47">
        <v>34340</v>
      </c>
      <c r="F88" s="64">
        <f t="shared" si="17"/>
        <v>-191</v>
      </c>
      <c r="G88" s="7">
        <f t="shared" si="18"/>
        <v>-5.5620267909143855E-3</v>
      </c>
      <c r="H88" s="46" t="s">
        <v>172</v>
      </c>
    </row>
    <row r="89" spans="1:8" x14ac:dyDescent="0.25">
      <c r="B89" s="1" t="s">
        <v>57</v>
      </c>
      <c r="D89" s="52">
        <f>+Final!D89</f>
        <v>4000</v>
      </c>
      <c r="E89" s="47">
        <v>4000</v>
      </c>
      <c r="F89" s="64">
        <f t="shared" si="17"/>
        <v>0</v>
      </c>
      <c r="G89" s="7">
        <f t="shared" si="18"/>
        <v>0</v>
      </c>
    </row>
    <row r="90" spans="1:8" x14ac:dyDescent="0.25">
      <c r="B90" s="1" t="s">
        <v>58</v>
      </c>
      <c r="D90" s="52">
        <f>+Final!D90</f>
        <v>3000</v>
      </c>
      <c r="E90" s="47">
        <v>3000</v>
      </c>
      <c r="F90" s="64">
        <f t="shared" si="17"/>
        <v>0</v>
      </c>
      <c r="G90" s="7">
        <f t="shared" si="18"/>
        <v>0</v>
      </c>
    </row>
    <row r="91" spans="1:8" s="5" customFormat="1" x14ac:dyDescent="0.25">
      <c r="A91" s="33" t="s">
        <v>59</v>
      </c>
      <c r="B91" s="33"/>
      <c r="C91" s="33"/>
      <c r="D91" s="33">
        <f>SUM(D86:D90)</f>
        <v>136380</v>
      </c>
      <c r="E91" s="60">
        <f>SUM(E86:E90)</f>
        <v>137467.4</v>
      </c>
      <c r="F91" s="60">
        <f>SUM(F86:F90)</f>
        <v>-1087.3999999999942</v>
      </c>
      <c r="G91" s="34">
        <f t="shared" si="18"/>
        <v>-7.910239082138705E-3</v>
      </c>
      <c r="H91" s="14"/>
    </row>
    <row r="92" spans="1:8" ht="6.75" customHeight="1" x14ac:dyDescent="0.25">
      <c r="G92" s="8"/>
    </row>
    <row r="93" spans="1:8" x14ac:dyDescent="0.25">
      <c r="A93" s="5" t="s">
        <v>60</v>
      </c>
      <c r="G93" s="8"/>
    </row>
    <row r="94" spans="1:8" ht="30" x14ac:dyDescent="0.25">
      <c r="B94" s="1" t="s">
        <v>61</v>
      </c>
      <c r="D94" s="52">
        <f>+Final!D94</f>
        <v>11307</v>
      </c>
      <c r="E94" s="47">
        <v>11420</v>
      </c>
      <c r="F94" s="64">
        <f t="shared" ref="F94:F95" si="19">+D94-E94</f>
        <v>-113</v>
      </c>
      <c r="G94" s="7">
        <f t="shared" ref="G94:G96" si="20">IF(E94=0,"NA",(+D94-E94)/E94)</f>
        <v>-9.8949211908931703E-3</v>
      </c>
      <c r="H94" s="46" t="s">
        <v>171</v>
      </c>
    </row>
    <row r="95" spans="1:8" x14ac:dyDescent="0.25">
      <c r="B95" s="1" t="s">
        <v>62</v>
      </c>
      <c r="D95" s="52">
        <f>+Final!D95</f>
        <v>5000</v>
      </c>
      <c r="E95" s="47">
        <v>5000</v>
      </c>
      <c r="F95" s="64">
        <f t="shared" si="19"/>
        <v>0</v>
      </c>
      <c r="G95" s="7">
        <f t="shared" si="20"/>
        <v>0</v>
      </c>
    </row>
    <row r="96" spans="1:8" s="5" customFormat="1" x14ac:dyDescent="0.25">
      <c r="A96" s="33" t="s">
        <v>63</v>
      </c>
      <c r="B96" s="33"/>
      <c r="C96" s="33"/>
      <c r="D96" s="33">
        <f>SUM(D94:D95)</f>
        <v>16307</v>
      </c>
      <c r="E96" s="60">
        <f>SUM(E94:E95)</f>
        <v>16420</v>
      </c>
      <c r="F96" s="60">
        <f>SUM(F94:F95)</f>
        <v>-113</v>
      </c>
      <c r="G96" s="34">
        <f t="shared" si="20"/>
        <v>-6.8818514007308162E-3</v>
      </c>
      <c r="H96" s="14"/>
    </row>
    <row r="97" spans="1:8" ht="4.5" customHeight="1" x14ac:dyDescent="0.25">
      <c r="G97" s="8"/>
    </row>
    <row r="98" spans="1:8" x14ac:dyDescent="0.25">
      <c r="A98" s="5" t="s">
        <v>64</v>
      </c>
      <c r="G98" s="8"/>
    </row>
    <row r="99" spans="1:8" ht="30" x14ac:dyDescent="0.25">
      <c r="B99" s="1" t="s">
        <v>61</v>
      </c>
      <c r="D99" s="52">
        <f>+Final!D99</f>
        <v>13527</v>
      </c>
      <c r="E99" s="47">
        <v>13662</v>
      </c>
      <c r="F99" s="64">
        <f t="shared" ref="F99:F100" si="21">+D99-E99</f>
        <v>-135</v>
      </c>
      <c r="G99" s="7">
        <f t="shared" ref="G99:G101" si="22">IF(E99=0,"NA",(+D99-E99)/E99)</f>
        <v>-9.881422924901186E-3</v>
      </c>
      <c r="H99" s="46" t="s">
        <v>171</v>
      </c>
    </row>
    <row r="100" spans="1:8" x14ac:dyDescent="0.25">
      <c r="B100" s="1" t="s">
        <v>65</v>
      </c>
      <c r="D100" s="52">
        <f>+Final!D100</f>
        <v>750</v>
      </c>
      <c r="E100" s="47">
        <v>750</v>
      </c>
      <c r="F100" s="64">
        <f t="shared" si="21"/>
        <v>0</v>
      </c>
      <c r="G100" s="7">
        <f t="shared" si="22"/>
        <v>0</v>
      </c>
    </row>
    <row r="101" spans="1:8" s="5" customFormat="1" x14ac:dyDescent="0.25">
      <c r="A101" s="33" t="s">
        <v>66</v>
      </c>
      <c r="B101" s="33"/>
      <c r="C101" s="33"/>
      <c r="D101" s="33">
        <f>SUM(D99:D100)</f>
        <v>14277</v>
      </c>
      <c r="E101" s="60">
        <f>SUM(E99:E100)</f>
        <v>14412</v>
      </c>
      <c r="F101" s="60">
        <f>SUM(F99:F100)</f>
        <v>-135</v>
      </c>
      <c r="G101" s="34">
        <f t="shared" si="22"/>
        <v>-9.3671940049958376E-3</v>
      </c>
      <c r="H101" s="14"/>
    </row>
    <row r="102" spans="1:8" ht="6" customHeight="1" x14ac:dyDescent="0.25">
      <c r="G102" s="8"/>
    </row>
    <row r="103" spans="1:8" x14ac:dyDescent="0.25">
      <c r="A103" s="5" t="s">
        <v>67</v>
      </c>
      <c r="G103" s="8"/>
    </row>
    <row r="104" spans="1:8" x14ac:dyDescent="0.25">
      <c r="B104" s="1" t="s">
        <v>61</v>
      </c>
      <c r="D104" s="52">
        <f>+Final!D104</f>
        <v>34954</v>
      </c>
      <c r="E104" s="47">
        <v>34954</v>
      </c>
      <c r="F104" s="64">
        <f t="shared" ref="F104:F109" si="23">+D104-E104</f>
        <v>0</v>
      </c>
      <c r="G104" s="7">
        <f t="shared" ref="G104:G110" si="24">IF(E104=0,"NA",(+D104-E104)/E104)</f>
        <v>0</v>
      </c>
    </row>
    <row r="105" spans="1:8" x14ac:dyDescent="0.25">
      <c r="B105" s="1" t="s">
        <v>56</v>
      </c>
      <c r="D105" s="52">
        <f>+Final!D105</f>
        <v>4999</v>
      </c>
      <c r="E105" s="47">
        <v>4999</v>
      </c>
      <c r="F105" s="64">
        <f t="shared" si="23"/>
        <v>0</v>
      </c>
      <c r="G105" s="7">
        <f t="shared" si="24"/>
        <v>0</v>
      </c>
    </row>
    <row r="106" spans="1:8" x14ac:dyDescent="0.25">
      <c r="B106" s="1" t="s">
        <v>58</v>
      </c>
      <c r="D106" s="52">
        <f>+Final!D106</f>
        <v>750</v>
      </c>
      <c r="E106" s="47">
        <v>750</v>
      </c>
      <c r="F106" s="64">
        <f t="shared" si="23"/>
        <v>0</v>
      </c>
      <c r="G106" s="7">
        <f t="shared" si="24"/>
        <v>0</v>
      </c>
    </row>
    <row r="107" spans="1:8" x14ac:dyDescent="0.25">
      <c r="B107" s="1" t="s">
        <v>57</v>
      </c>
      <c r="D107" s="52">
        <f>+Final!D107</f>
        <v>2000</v>
      </c>
      <c r="E107" s="47">
        <v>2000</v>
      </c>
      <c r="F107" s="64">
        <f t="shared" si="23"/>
        <v>0</v>
      </c>
      <c r="G107" s="7">
        <f t="shared" si="24"/>
        <v>0</v>
      </c>
    </row>
    <row r="108" spans="1:8" x14ac:dyDescent="0.25">
      <c r="B108" s="1" t="s">
        <v>62</v>
      </c>
      <c r="D108" s="52">
        <f>+Final!D108</f>
        <v>1500</v>
      </c>
      <c r="E108" s="47">
        <v>1500</v>
      </c>
      <c r="F108" s="64">
        <f t="shared" si="23"/>
        <v>0</v>
      </c>
      <c r="G108" s="7">
        <f t="shared" si="24"/>
        <v>0</v>
      </c>
    </row>
    <row r="109" spans="1:8" x14ac:dyDescent="0.25">
      <c r="B109" s="1" t="s">
        <v>68</v>
      </c>
      <c r="D109" s="52">
        <f>+Final!D109</f>
        <v>1116</v>
      </c>
      <c r="E109" s="47">
        <v>1116</v>
      </c>
      <c r="F109" s="64">
        <f t="shared" si="23"/>
        <v>0</v>
      </c>
      <c r="G109" s="7">
        <f t="shared" si="24"/>
        <v>0</v>
      </c>
    </row>
    <row r="110" spans="1:8" s="5" customFormat="1" x14ac:dyDescent="0.25">
      <c r="A110" s="33" t="s">
        <v>69</v>
      </c>
      <c r="B110" s="33"/>
      <c r="C110" s="33"/>
      <c r="D110" s="33">
        <f>SUM(D104:D109)</f>
        <v>45319</v>
      </c>
      <c r="E110" s="60">
        <f>SUM(E104:E109)</f>
        <v>45319</v>
      </c>
      <c r="F110" s="60">
        <f>SUM(F104:F109)</f>
        <v>0</v>
      </c>
      <c r="G110" s="34">
        <f t="shared" si="24"/>
        <v>0</v>
      </c>
      <c r="H110" s="14"/>
    </row>
    <row r="111" spans="1:8" ht="6" customHeight="1" x14ac:dyDescent="0.25">
      <c r="G111" s="8"/>
    </row>
    <row r="112" spans="1:8" x14ac:dyDescent="0.25">
      <c r="A112" s="5" t="s">
        <v>70</v>
      </c>
      <c r="G112" s="8"/>
    </row>
    <row r="113" spans="1:10" ht="30" x14ac:dyDescent="0.25">
      <c r="B113" s="1" t="s">
        <v>71</v>
      </c>
      <c r="D113" s="52">
        <f>+Final!D113</f>
        <v>9580</v>
      </c>
      <c r="E113" s="47">
        <v>9676</v>
      </c>
      <c r="F113" s="64">
        <f t="shared" ref="F113:F118" si="25">+D113-E113</f>
        <v>-96</v>
      </c>
      <c r="G113" s="7">
        <f t="shared" ref="G113:G119" si="26">IF(E113=0,"NA",(+D113-E113)/E113)</f>
        <v>-9.9214551467548574E-3</v>
      </c>
      <c r="H113" s="46" t="s">
        <v>171</v>
      </c>
    </row>
    <row r="114" spans="1:10" x14ac:dyDescent="0.25">
      <c r="B114" s="1" t="s">
        <v>72</v>
      </c>
      <c r="D114" s="52">
        <f>+Final!D114</f>
        <v>500</v>
      </c>
      <c r="E114" s="47">
        <v>500</v>
      </c>
      <c r="F114" s="64">
        <f t="shared" si="25"/>
        <v>0</v>
      </c>
      <c r="G114" s="7">
        <f t="shared" si="26"/>
        <v>0</v>
      </c>
    </row>
    <row r="115" spans="1:10" ht="30" x14ac:dyDescent="0.25">
      <c r="B115" s="1" t="s">
        <v>73</v>
      </c>
      <c r="D115" s="52">
        <f>+Final!D115</f>
        <v>17796</v>
      </c>
      <c r="E115" s="47">
        <v>17974</v>
      </c>
      <c r="F115" s="64">
        <f t="shared" si="25"/>
        <v>-178</v>
      </c>
      <c r="G115" s="7">
        <f t="shared" si="26"/>
        <v>-9.9031935017247132E-3</v>
      </c>
      <c r="H115" s="46" t="s">
        <v>171</v>
      </c>
    </row>
    <row r="116" spans="1:10" ht="30" x14ac:dyDescent="0.25">
      <c r="B116" s="1" t="s">
        <v>74</v>
      </c>
      <c r="D116" s="52">
        <f>+Final!D116</f>
        <v>6581</v>
      </c>
      <c r="E116" s="47">
        <v>6647</v>
      </c>
      <c r="F116" s="64">
        <f t="shared" si="25"/>
        <v>-66</v>
      </c>
      <c r="G116" s="7">
        <f t="shared" si="26"/>
        <v>-9.9292914096584927E-3</v>
      </c>
      <c r="H116" s="46" t="s">
        <v>171</v>
      </c>
    </row>
    <row r="117" spans="1:10" ht="30" x14ac:dyDescent="0.25">
      <c r="B117" s="1" t="s">
        <v>75</v>
      </c>
      <c r="D117" s="52">
        <f>+Final!D117</f>
        <v>1698</v>
      </c>
      <c r="E117" s="47">
        <v>1715</v>
      </c>
      <c r="F117" s="64">
        <f t="shared" si="25"/>
        <v>-17</v>
      </c>
      <c r="G117" s="7">
        <f t="shared" si="26"/>
        <v>-9.9125364431486875E-3</v>
      </c>
      <c r="H117" s="46" t="s">
        <v>171</v>
      </c>
    </row>
    <row r="118" spans="1:10" x14ac:dyDescent="0.25">
      <c r="B118" s="1" t="s">
        <v>76</v>
      </c>
      <c r="D118" s="52">
        <f>+Final!D118</f>
        <v>2400</v>
      </c>
      <c r="E118" s="47">
        <v>2500</v>
      </c>
      <c r="F118" s="64">
        <f t="shared" si="25"/>
        <v>-100</v>
      </c>
      <c r="G118" s="7">
        <f t="shared" si="26"/>
        <v>-0.04</v>
      </c>
      <c r="H118" s="46" t="s">
        <v>169</v>
      </c>
    </row>
    <row r="119" spans="1:10" s="5" customFormat="1" x14ac:dyDescent="0.25">
      <c r="A119" s="33" t="s">
        <v>77</v>
      </c>
      <c r="B119" s="33"/>
      <c r="C119" s="33"/>
      <c r="D119" s="33">
        <f>SUM(D113:D118)</f>
        <v>38555</v>
      </c>
      <c r="E119" s="60">
        <f>SUM(E113:E118)</f>
        <v>39012</v>
      </c>
      <c r="F119" s="60">
        <f>SUM(F113:F118)</f>
        <v>-457</v>
      </c>
      <c r="G119" s="34">
        <f t="shared" si="26"/>
        <v>-1.171434430431662E-2</v>
      </c>
      <c r="H119" s="14"/>
    </row>
    <row r="120" spans="1:10" ht="6.75" customHeight="1" x14ac:dyDescent="0.25">
      <c r="G120" s="8"/>
    </row>
    <row r="121" spans="1:10" x14ac:dyDescent="0.25">
      <c r="A121" s="5" t="s">
        <v>78</v>
      </c>
      <c r="G121" s="8"/>
    </row>
    <row r="122" spans="1:10" ht="30" x14ac:dyDescent="0.25">
      <c r="B122" s="1" t="s">
        <v>161</v>
      </c>
      <c r="D122" s="52">
        <f>+Final!D122</f>
        <v>12075</v>
      </c>
      <c r="E122" s="47">
        <v>12417</v>
      </c>
      <c r="F122" s="64">
        <f t="shared" ref="F122:F131" si="27">+D122-E122</f>
        <v>-342</v>
      </c>
      <c r="G122" s="7">
        <f t="shared" ref="G122:G133" si="28">IF(E122=0,"NA",(+D122-E122)/E122)</f>
        <v>-2.7542884754771683E-2</v>
      </c>
      <c r="H122" s="46" t="s">
        <v>173</v>
      </c>
      <c r="J122" s="35"/>
    </row>
    <row r="123" spans="1:10" ht="39.75" customHeight="1" x14ac:dyDescent="0.25">
      <c r="B123" s="1" t="s">
        <v>80</v>
      </c>
      <c r="D123" s="52">
        <f>+Final!D123</f>
        <v>31118</v>
      </c>
      <c r="E123" s="47">
        <v>31274</v>
      </c>
      <c r="F123" s="64">
        <f t="shared" si="27"/>
        <v>-156</v>
      </c>
      <c r="G123" s="7">
        <f t="shared" si="28"/>
        <v>-4.9881690861418434E-3</v>
      </c>
      <c r="H123" s="46" t="s">
        <v>171</v>
      </c>
      <c r="J123" s="35"/>
    </row>
    <row r="124" spans="1:10" x14ac:dyDescent="0.25">
      <c r="B124" s="1" t="s">
        <v>81</v>
      </c>
      <c r="D124" s="52">
        <f>+Final!D124</f>
        <v>500</v>
      </c>
      <c r="E124" s="47">
        <v>500</v>
      </c>
      <c r="F124" s="64">
        <f t="shared" si="27"/>
        <v>0</v>
      </c>
      <c r="G124" s="7">
        <f t="shared" si="28"/>
        <v>0</v>
      </c>
      <c r="J124" s="35"/>
    </row>
    <row r="125" spans="1:10" x14ac:dyDescent="0.25">
      <c r="B125" s="1" t="s">
        <v>82</v>
      </c>
      <c r="D125" s="52">
        <f>+Final!D125</f>
        <v>1000</v>
      </c>
      <c r="E125" s="47">
        <v>1000</v>
      </c>
      <c r="F125" s="64">
        <f t="shared" si="27"/>
        <v>0</v>
      </c>
      <c r="G125" s="7">
        <f t="shared" si="28"/>
        <v>0</v>
      </c>
      <c r="J125" s="35"/>
    </row>
    <row r="126" spans="1:10" x14ac:dyDescent="0.25">
      <c r="B126" s="1" t="s">
        <v>83</v>
      </c>
      <c r="D126" s="52">
        <f>+Final!D126</f>
        <v>600</v>
      </c>
      <c r="E126" s="47">
        <f>7.5*4*20</f>
        <v>600</v>
      </c>
      <c r="F126" s="64">
        <f t="shared" si="27"/>
        <v>0</v>
      </c>
      <c r="G126" s="7">
        <f t="shared" si="28"/>
        <v>0</v>
      </c>
      <c r="I126" s="6"/>
      <c r="J126" s="35"/>
    </row>
    <row r="127" spans="1:10" x14ac:dyDescent="0.25">
      <c r="B127" s="1" t="s">
        <v>131</v>
      </c>
      <c r="D127" s="52">
        <f>+Final!D127</f>
        <v>17250</v>
      </c>
      <c r="E127" s="47">
        <f>11.5*30*50</f>
        <v>17250</v>
      </c>
      <c r="F127" s="64">
        <f t="shared" si="27"/>
        <v>0</v>
      </c>
      <c r="G127" s="7">
        <f t="shared" si="28"/>
        <v>0</v>
      </c>
      <c r="J127" s="35"/>
    </row>
    <row r="128" spans="1:10" ht="30" x14ac:dyDescent="0.25">
      <c r="B128" s="1" t="s">
        <v>84</v>
      </c>
      <c r="D128" s="52">
        <f>+Final!D128</f>
        <v>9800</v>
      </c>
      <c r="E128" s="47">
        <v>9865</v>
      </c>
      <c r="F128" s="64">
        <f t="shared" si="27"/>
        <v>-65</v>
      </c>
      <c r="G128" s="7">
        <f t="shared" si="28"/>
        <v>-6.5889508362899137E-3</v>
      </c>
      <c r="H128" s="46" t="s">
        <v>172</v>
      </c>
      <c r="J128" s="35"/>
    </row>
    <row r="129" spans="1:8" x14ac:dyDescent="0.25">
      <c r="B129" s="1" t="s">
        <v>85</v>
      </c>
      <c r="D129" s="52">
        <f>+Final!D129</f>
        <v>3400</v>
      </c>
      <c r="E129" s="47">
        <v>3400</v>
      </c>
      <c r="F129" s="64">
        <f t="shared" si="27"/>
        <v>0</v>
      </c>
      <c r="G129" s="7">
        <f t="shared" si="28"/>
        <v>0</v>
      </c>
    </row>
    <row r="130" spans="1:8" x14ac:dyDescent="0.25">
      <c r="B130" s="1" t="s">
        <v>86</v>
      </c>
      <c r="D130" s="52">
        <f>+Final!D130</f>
        <v>600</v>
      </c>
      <c r="E130" s="47">
        <v>600</v>
      </c>
      <c r="F130" s="64">
        <f t="shared" si="27"/>
        <v>0</v>
      </c>
      <c r="G130" s="7">
        <f t="shared" si="28"/>
        <v>0</v>
      </c>
    </row>
    <row r="131" spans="1:8" x14ac:dyDescent="0.25">
      <c r="B131" s="1" t="s">
        <v>87</v>
      </c>
      <c r="D131" s="52">
        <f>+Final!D131</f>
        <v>-5000</v>
      </c>
      <c r="E131" s="47">
        <v>-5000</v>
      </c>
      <c r="F131" s="64">
        <f t="shared" si="27"/>
        <v>0</v>
      </c>
      <c r="G131" s="7">
        <f t="shared" si="28"/>
        <v>0</v>
      </c>
    </row>
    <row r="132" spans="1:8" s="5" customFormat="1" x14ac:dyDescent="0.25">
      <c r="A132" s="33" t="s">
        <v>79</v>
      </c>
      <c r="B132" s="33"/>
      <c r="C132" s="33"/>
      <c r="D132" s="33">
        <f>SUM(D122:D131)</f>
        <v>71343</v>
      </c>
      <c r="E132" s="60">
        <f>SUM(E122:E131)</f>
        <v>71906</v>
      </c>
      <c r="F132" s="60">
        <f>SUM(F122:F131)</f>
        <v>-563</v>
      </c>
      <c r="G132" s="34">
        <f t="shared" si="28"/>
        <v>-7.8296665090534859E-3</v>
      </c>
      <c r="H132" s="14"/>
    </row>
    <row r="133" spans="1:8" x14ac:dyDescent="0.25">
      <c r="A133" s="33" t="s">
        <v>88</v>
      </c>
      <c r="B133" s="33"/>
      <c r="C133" s="44"/>
      <c r="D133" s="33">
        <f>+D91+D96+D101+D110+D119+D132</f>
        <v>322181</v>
      </c>
      <c r="E133" s="60">
        <f>+E91+E96+E101+E110+E119+E132</f>
        <v>324536.40000000002</v>
      </c>
      <c r="F133" s="60">
        <f>+F91+F96+F101+F110+F119+F132</f>
        <v>-2355.3999999999942</v>
      </c>
      <c r="G133" s="34">
        <f t="shared" si="28"/>
        <v>-7.2577374987829501E-3</v>
      </c>
    </row>
    <row r="134" spans="1:8" ht="8.25" customHeight="1" x14ac:dyDescent="0.25">
      <c r="G134" s="8"/>
    </row>
    <row r="135" spans="1:8" ht="18.75" x14ac:dyDescent="0.25">
      <c r="A135" s="11" t="s">
        <v>89</v>
      </c>
      <c r="G135" s="8"/>
    </row>
    <row r="136" spans="1:8" x14ac:dyDescent="0.25">
      <c r="A136" s="5" t="s">
        <v>90</v>
      </c>
      <c r="G136" s="8"/>
    </row>
    <row r="137" spans="1:8" x14ac:dyDescent="0.25">
      <c r="B137" s="1" t="s">
        <v>92</v>
      </c>
      <c r="D137" s="52">
        <f>+Final!D137</f>
        <v>18000</v>
      </c>
      <c r="E137" s="47">
        <v>18000</v>
      </c>
      <c r="F137" s="64">
        <f t="shared" ref="F137:F143" si="29">+D137-E137</f>
        <v>0</v>
      </c>
      <c r="G137" s="7">
        <f t="shared" ref="G137:G144" si="30">IF(E137=0,"NA",(+D137-E137)/E137)</f>
        <v>0</v>
      </c>
    </row>
    <row r="138" spans="1:8" x14ac:dyDescent="0.25">
      <c r="B138" s="1" t="s">
        <v>93</v>
      </c>
      <c r="D138" s="52">
        <f>+Final!D138</f>
        <v>12000</v>
      </c>
      <c r="E138" s="47">
        <v>12000</v>
      </c>
      <c r="F138" s="64">
        <f t="shared" si="29"/>
        <v>0</v>
      </c>
      <c r="G138" s="7">
        <f t="shared" si="30"/>
        <v>0</v>
      </c>
    </row>
    <row r="139" spans="1:8" x14ac:dyDescent="0.25">
      <c r="B139" s="1" t="s">
        <v>94</v>
      </c>
      <c r="D139" s="52">
        <f>+Final!D139</f>
        <v>3400</v>
      </c>
      <c r="E139" s="47">
        <v>3400</v>
      </c>
      <c r="F139" s="64">
        <f t="shared" si="29"/>
        <v>0</v>
      </c>
      <c r="G139" s="7">
        <f t="shared" si="30"/>
        <v>0</v>
      </c>
    </row>
    <row r="140" spans="1:8" x14ac:dyDescent="0.25">
      <c r="B140" s="1" t="s">
        <v>95</v>
      </c>
      <c r="D140" s="52">
        <f>+Final!D140</f>
        <v>850</v>
      </c>
      <c r="E140" s="47">
        <v>850</v>
      </c>
      <c r="F140" s="64">
        <f t="shared" si="29"/>
        <v>0</v>
      </c>
      <c r="G140" s="7">
        <f t="shared" si="30"/>
        <v>0</v>
      </c>
    </row>
    <row r="141" spans="1:8" x14ac:dyDescent="0.25">
      <c r="B141" s="1" t="s">
        <v>96</v>
      </c>
      <c r="D141" s="52">
        <f>+Final!D141</f>
        <v>3300</v>
      </c>
      <c r="E141" s="47">
        <v>3300</v>
      </c>
      <c r="F141" s="64">
        <f t="shared" si="29"/>
        <v>0</v>
      </c>
      <c r="G141" s="7">
        <f t="shared" si="30"/>
        <v>0</v>
      </c>
    </row>
    <row r="142" spans="1:8" x14ac:dyDescent="0.25">
      <c r="B142" s="1" t="s">
        <v>97</v>
      </c>
      <c r="D142" s="52">
        <f>+Final!D142</f>
        <v>2500</v>
      </c>
      <c r="E142" s="47">
        <v>2500</v>
      </c>
      <c r="F142" s="64">
        <f t="shared" si="29"/>
        <v>0</v>
      </c>
      <c r="G142" s="7">
        <f t="shared" si="30"/>
        <v>0</v>
      </c>
    </row>
    <row r="143" spans="1:8" x14ac:dyDescent="0.25">
      <c r="B143" s="1" t="s">
        <v>98</v>
      </c>
      <c r="D143" s="52">
        <f>+Final!D143</f>
        <v>3100</v>
      </c>
      <c r="E143" s="47">
        <v>3100</v>
      </c>
      <c r="F143" s="64">
        <f t="shared" si="29"/>
        <v>0</v>
      </c>
      <c r="G143" s="7">
        <f t="shared" si="30"/>
        <v>0</v>
      </c>
    </row>
    <row r="144" spans="1:8" s="5" customFormat="1" x14ac:dyDescent="0.25">
      <c r="A144" s="36" t="s">
        <v>99</v>
      </c>
      <c r="B144" s="36"/>
      <c r="C144" s="36"/>
      <c r="D144" s="36">
        <f>SUM(D137:D143)</f>
        <v>43150</v>
      </c>
      <c r="E144" s="61">
        <f>SUM(E137:E143)</f>
        <v>43150</v>
      </c>
      <c r="F144" s="61">
        <f>SUM(F137:F143)</f>
        <v>0</v>
      </c>
      <c r="G144" s="37">
        <f t="shared" si="30"/>
        <v>0</v>
      </c>
      <c r="H144" s="14"/>
    </row>
    <row r="145" spans="1:8" s="5" customFormat="1" ht="6.75" customHeight="1" x14ac:dyDescent="0.25">
      <c r="A145" s="22"/>
      <c r="B145" s="22"/>
      <c r="C145" s="22"/>
      <c r="D145" s="22"/>
      <c r="E145" s="55"/>
      <c r="F145" s="55"/>
      <c r="G145" s="25"/>
      <c r="H145" s="14"/>
    </row>
    <row r="146" spans="1:8" x14ac:dyDescent="0.25">
      <c r="A146" s="5" t="s">
        <v>100</v>
      </c>
      <c r="G146" s="8"/>
    </row>
    <row r="147" spans="1:8" x14ac:dyDescent="0.25">
      <c r="B147" s="1" t="s">
        <v>101</v>
      </c>
      <c r="D147" s="52">
        <f>+Final!D147</f>
        <v>12000</v>
      </c>
      <c r="E147" s="47">
        <v>12000</v>
      </c>
      <c r="F147" s="64">
        <f t="shared" ref="F147:F154" si="31">+D147-E147</f>
        <v>0</v>
      </c>
      <c r="G147" s="7">
        <f t="shared" ref="G147:G156" si="32">IF(E147=0,"NA",(+D147-E147)/E147)</f>
        <v>0</v>
      </c>
    </row>
    <row r="148" spans="1:8" x14ac:dyDescent="0.25">
      <c r="B148" s="1" t="s">
        <v>102</v>
      </c>
      <c r="D148" s="52">
        <f>+Final!D148</f>
        <v>5000</v>
      </c>
      <c r="E148" s="47">
        <v>5000</v>
      </c>
      <c r="F148" s="64">
        <f t="shared" si="31"/>
        <v>0</v>
      </c>
      <c r="G148" s="7">
        <f t="shared" si="32"/>
        <v>0</v>
      </c>
    </row>
    <row r="149" spans="1:8" x14ac:dyDescent="0.25">
      <c r="B149" s="1" t="s">
        <v>103</v>
      </c>
      <c r="D149" s="52">
        <f>+Final!D149</f>
        <v>2500</v>
      </c>
      <c r="E149" s="47">
        <v>2500</v>
      </c>
      <c r="F149" s="64">
        <f t="shared" si="31"/>
        <v>0</v>
      </c>
      <c r="G149" s="7">
        <f t="shared" si="32"/>
        <v>0</v>
      </c>
    </row>
    <row r="150" spans="1:8" ht="28.5" customHeight="1" x14ac:dyDescent="0.25">
      <c r="B150" s="68" t="s">
        <v>135</v>
      </c>
      <c r="C150" s="68"/>
      <c r="D150" s="52">
        <f>+Final!D150</f>
        <v>2700</v>
      </c>
      <c r="E150" s="47">
        <v>2700</v>
      </c>
      <c r="F150" s="64">
        <f t="shared" si="31"/>
        <v>0</v>
      </c>
      <c r="G150" s="7">
        <f t="shared" si="32"/>
        <v>0</v>
      </c>
    </row>
    <row r="151" spans="1:8" x14ac:dyDescent="0.25">
      <c r="B151" s="1" t="s">
        <v>104</v>
      </c>
      <c r="D151" s="52">
        <f>+Final!D151</f>
        <v>7000</v>
      </c>
      <c r="E151" s="47">
        <v>10000</v>
      </c>
      <c r="F151" s="64">
        <f t="shared" si="31"/>
        <v>-3000</v>
      </c>
      <c r="G151" s="7">
        <f t="shared" si="32"/>
        <v>-0.3</v>
      </c>
      <c r="H151" s="46" t="s">
        <v>169</v>
      </c>
    </row>
    <row r="152" spans="1:8" x14ac:dyDescent="0.25">
      <c r="B152" s="1" t="s">
        <v>105</v>
      </c>
      <c r="D152" s="52">
        <f>+Final!D152</f>
        <v>0</v>
      </c>
      <c r="E152" s="47">
        <v>0</v>
      </c>
      <c r="F152" s="64">
        <f t="shared" si="31"/>
        <v>0</v>
      </c>
      <c r="G152" s="7" t="str">
        <f t="shared" si="32"/>
        <v>NA</v>
      </c>
    </row>
    <row r="153" spans="1:8" x14ac:dyDescent="0.25">
      <c r="B153" s="1" t="s">
        <v>107</v>
      </c>
      <c r="D153" s="52">
        <f>+Final!D153</f>
        <v>54900</v>
      </c>
      <c r="E153" s="47">
        <v>54900</v>
      </c>
      <c r="F153" s="64">
        <f t="shared" si="31"/>
        <v>0</v>
      </c>
      <c r="G153" s="7">
        <f t="shared" si="32"/>
        <v>0</v>
      </c>
    </row>
    <row r="154" spans="1:8" x14ac:dyDescent="0.25">
      <c r="B154" s="1" t="s">
        <v>106</v>
      </c>
      <c r="D154" s="52">
        <f>+Final!D154</f>
        <v>1400</v>
      </c>
      <c r="E154" s="47">
        <v>1400</v>
      </c>
      <c r="F154" s="64">
        <f t="shared" si="31"/>
        <v>0</v>
      </c>
      <c r="G154" s="7">
        <f t="shared" si="32"/>
        <v>0</v>
      </c>
    </row>
    <row r="155" spans="1:8" s="5" customFormat="1" x14ac:dyDescent="0.25">
      <c r="A155" s="36" t="s">
        <v>108</v>
      </c>
      <c r="B155" s="36"/>
      <c r="C155" s="36"/>
      <c r="D155" s="36">
        <f>SUM(D147:D154)</f>
        <v>85500</v>
      </c>
      <c r="E155" s="61">
        <f>SUM(E147:E154)</f>
        <v>88500</v>
      </c>
      <c r="F155" s="61">
        <f>SUM(F147:F154)</f>
        <v>-3000</v>
      </c>
      <c r="G155" s="37">
        <f t="shared" si="32"/>
        <v>-3.3898305084745763E-2</v>
      </c>
      <c r="H155" s="14"/>
    </row>
    <row r="156" spans="1:8" x14ac:dyDescent="0.25">
      <c r="A156" s="36" t="s">
        <v>109</v>
      </c>
      <c r="B156" s="36"/>
      <c r="C156" s="36"/>
      <c r="D156" s="36">
        <f>+D144+D155</f>
        <v>128650</v>
      </c>
      <c r="E156" s="61">
        <f>+E144+E155</f>
        <v>131650</v>
      </c>
      <c r="F156" s="61">
        <f>+F144+F155</f>
        <v>-3000</v>
      </c>
      <c r="G156" s="37">
        <f t="shared" si="32"/>
        <v>-2.2787694644891759E-2</v>
      </c>
    </row>
    <row r="157" spans="1:8" ht="4.5" customHeight="1" x14ac:dyDescent="0.25">
      <c r="G157" s="8"/>
    </row>
    <row r="158" spans="1:8" ht="18.75" x14ac:dyDescent="0.25">
      <c r="A158" s="11" t="s">
        <v>110</v>
      </c>
      <c r="G158" s="8"/>
    </row>
    <row r="159" spans="1:8" x14ac:dyDescent="0.25">
      <c r="A159" s="5" t="s">
        <v>111</v>
      </c>
      <c r="G159" s="8"/>
    </row>
    <row r="160" spans="1:8" x14ac:dyDescent="0.25">
      <c r="B160" s="1" t="s">
        <v>112</v>
      </c>
      <c r="D160" s="52">
        <f>+Final!D160</f>
        <v>0</v>
      </c>
      <c r="E160" s="47">
        <v>0</v>
      </c>
      <c r="F160" s="64">
        <f t="shared" ref="F160:F163" si="33">+D160-E160</f>
        <v>0</v>
      </c>
      <c r="G160" s="7" t="str">
        <f t="shared" ref="G160:G164" si="34">IF(E160=0,"NA",(+D160-E160)/E160)</f>
        <v>NA</v>
      </c>
    </row>
    <row r="161" spans="1:8" x14ac:dyDescent="0.25">
      <c r="B161" s="1" t="s">
        <v>113</v>
      </c>
      <c r="D161" s="52">
        <f>+Final!D161</f>
        <v>5000</v>
      </c>
      <c r="E161" s="47">
        <v>5000</v>
      </c>
      <c r="F161" s="64">
        <f t="shared" si="33"/>
        <v>0</v>
      </c>
      <c r="G161" s="7">
        <f t="shared" si="34"/>
        <v>0</v>
      </c>
    </row>
    <row r="162" spans="1:8" x14ac:dyDescent="0.25">
      <c r="B162" s="1" t="s">
        <v>114</v>
      </c>
      <c r="D162" s="52">
        <f>+Final!D162</f>
        <v>0</v>
      </c>
      <c r="E162" s="47">
        <v>0</v>
      </c>
      <c r="F162" s="64">
        <f t="shared" si="33"/>
        <v>0</v>
      </c>
      <c r="G162" s="7" t="str">
        <f t="shared" si="34"/>
        <v>NA</v>
      </c>
    </row>
    <row r="163" spans="1:8" x14ac:dyDescent="0.25">
      <c r="B163" s="1" t="s">
        <v>115</v>
      </c>
      <c r="D163" s="52">
        <f>+Final!D163</f>
        <v>5000</v>
      </c>
      <c r="E163" s="47">
        <v>5000</v>
      </c>
      <c r="F163" s="64">
        <f t="shared" si="33"/>
        <v>0</v>
      </c>
      <c r="G163" s="7">
        <f t="shared" si="34"/>
        <v>0</v>
      </c>
    </row>
    <row r="164" spans="1:8" s="5" customFormat="1" x14ac:dyDescent="0.25">
      <c r="A164" s="38" t="s">
        <v>116</v>
      </c>
      <c r="B164" s="38"/>
      <c r="C164" s="38"/>
      <c r="D164" s="38">
        <f>SUM(D160:D163)</f>
        <v>10000</v>
      </c>
      <c r="E164" s="62">
        <f>SUM(E160:E163)</f>
        <v>10000</v>
      </c>
      <c r="F164" s="62">
        <f>SUM(F160:F163)</f>
        <v>0</v>
      </c>
      <c r="G164" s="39">
        <f t="shared" si="34"/>
        <v>0</v>
      </c>
      <c r="H164" s="14"/>
    </row>
    <row r="165" spans="1:8" ht="7.5" customHeight="1" x14ac:dyDescent="0.25">
      <c r="G165" s="8"/>
    </row>
    <row r="166" spans="1:8" x14ac:dyDescent="0.25">
      <c r="A166" s="40" t="s">
        <v>117</v>
      </c>
      <c r="B166" s="41"/>
      <c r="C166" s="41"/>
      <c r="D166" s="40">
        <f>+D82+D133+D156+D164+D31</f>
        <v>572505</v>
      </c>
      <c r="E166" s="63">
        <f>+E82+E133+E156+E164+E31</f>
        <v>580036.4</v>
      </c>
      <c r="F166" s="63">
        <f>ROUND(+F82+F133+F156+F164+F31,0)</f>
        <v>-7532</v>
      </c>
      <c r="G166" s="42">
        <f t="shared" ref="G166:G167" si="35">IF(E166=0,"NA",(+D166-E166)/E166)</f>
        <v>-1.2984357533423804E-2</v>
      </c>
    </row>
    <row r="167" spans="1:8" x14ac:dyDescent="0.25">
      <c r="A167" s="40" t="s">
        <v>118</v>
      </c>
      <c r="B167" s="41"/>
      <c r="C167" s="41"/>
      <c r="D167" s="40">
        <f>+D22-D166</f>
        <v>0</v>
      </c>
      <c r="E167" s="63">
        <f>+E22-E166</f>
        <v>0.19999999995343387</v>
      </c>
      <c r="F167" s="63">
        <f>ROUND(+F22-F166,0)</f>
        <v>0</v>
      </c>
      <c r="G167" s="42">
        <f t="shared" si="35"/>
        <v>-1</v>
      </c>
    </row>
    <row r="168" spans="1:8" x14ac:dyDescent="0.25">
      <c r="G168" s="8"/>
    </row>
    <row r="169" spans="1:8" x14ac:dyDescent="0.25">
      <c r="G169" s="8"/>
    </row>
    <row r="170" spans="1:8" x14ac:dyDescent="0.25">
      <c r="G170" s="8"/>
    </row>
    <row r="171" spans="1:8" x14ac:dyDescent="0.25">
      <c r="G171" s="8"/>
    </row>
    <row r="172" spans="1:8" x14ac:dyDescent="0.25">
      <c r="G172" s="8"/>
    </row>
    <row r="173" spans="1:8" x14ac:dyDescent="0.25">
      <c r="G173" s="8"/>
    </row>
    <row r="174" spans="1:8" x14ac:dyDescent="0.25">
      <c r="G174" s="8"/>
    </row>
    <row r="175" spans="1:8" x14ac:dyDescent="0.25">
      <c r="G175" s="8"/>
    </row>
    <row r="176" spans="1:8" x14ac:dyDescent="0.25">
      <c r="G176" s="8"/>
    </row>
    <row r="177" spans="7:7" x14ac:dyDescent="0.25">
      <c r="G177" s="8"/>
    </row>
    <row r="178" spans="7:7" x14ac:dyDescent="0.25">
      <c r="G178" s="8"/>
    </row>
    <row r="179" spans="7:7" x14ac:dyDescent="0.25">
      <c r="G179" s="8"/>
    </row>
    <row r="180" spans="7:7" x14ac:dyDescent="0.25">
      <c r="G180" s="8"/>
    </row>
    <row r="181" spans="7:7" x14ac:dyDescent="0.25">
      <c r="G181" s="8"/>
    </row>
    <row r="182" spans="7:7" x14ac:dyDescent="0.25">
      <c r="G182" s="8"/>
    </row>
    <row r="183" spans="7:7" x14ac:dyDescent="0.25">
      <c r="G183" s="8"/>
    </row>
    <row r="184" spans="7:7" x14ac:dyDescent="0.25">
      <c r="G184" s="8"/>
    </row>
    <row r="185" spans="7:7" x14ac:dyDescent="0.25">
      <c r="G185" s="8"/>
    </row>
    <row r="186" spans="7:7" x14ac:dyDescent="0.25">
      <c r="G186" s="8"/>
    </row>
    <row r="187" spans="7:7" x14ac:dyDescent="0.25">
      <c r="G187" s="8"/>
    </row>
    <row r="188" spans="7:7" x14ac:dyDescent="0.25">
      <c r="G188" s="8"/>
    </row>
    <row r="189" spans="7:7" x14ac:dyDescent="0.25">
      <c r="G189" s="8"/>
    </row>
  </sheetData>
  <mergeCells count="4">
    <mergeCell ref="A1:H1"/>
    <mergeCell ref="A2:H2"/>
    <mergeCell ref="D3:G3"/>
    <mergeCell ref="B150:C150"/>
  </mergeCells>
  <pageMargins left="0" right="0" top="0" bottom="0" header="0.3" footer="0.3"/>
  <pageSetup scale="64" fitToHeight="0" orientation="portrait" r:id="rId1"/>
  <headerFooter>
    <oddFooter>&amp;C&amp;P of &amp;N&amp;R&amp;D</oddFooter>
  </headerFooter>
  <rowBreaks count="2" manualBreakCount="2">
    <brk id="72" max="16383" man="1"/>
    <brk id="13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showGridLines="0" tabSelected="1" topLeftCell="A82" workbookViewId="0">
      <selection activeCell="N94" sqref="N94"/>
    </sheetView>
  </sheetViews>
  <sheetFormatPr defaultRowHeight="15" x14ac:dyDescent="0.25"/>
  <cols>
    <col min="1" max="1" width="4.28515625" style="5" customWidth="1"/>
    <col min="2" max="2" width="9.140625" style="1"/>
    <col min="3" max="3" width="24.7109375" style="1" customWidth="1"/>
    <col min="4" max="5" width="12.140625" style="1" customWidth="1"/>
    <col min="6" max="6" width="4.5703125" style="1" customWidth="1"/>
    <col min="7" max="7" width="10" style="1" bestFit="1" customWidth="1"/>
    <col min="8" max="8" width="12.5703125" style="1" bestFit="1" customWidth="1"/>
    <col min="9" max="12" width="11.140625" style="1" customWidth="1"/>
    <col min="13" max="13" width="9.140625" style="1"/>
    <col min="14" max="15" width="11.85546875" style="1" customWidth="1"/>
    <col min="16" max="16384" width="9.140625" style="1"/>
  </cols>
  <sheetData>
    <row r="1" spans="1:15" ht="41.25" customHeight="1" x14ac:dyDescent="0.25">
      <c r="A1" s="72" t="s">
        <v>129</v>
      </c>
      <c r="B1" s="72"/>
      <c r="C1" s="72"/>
      <c r="D1" s="72"/>
      <c r="E1" s="72"/>
      <c r="F1" s="72"/>
    </row>
    <row r="2" spans="1:15" ht="8.25" customHeight="1" thickBot="1" x14ac:dyDescent="0.3">
      <c r="A2" s="73"/>
      <c r="B2" s="73"/>
      <c r="C2" s="73"/>
      <c r="D2" s="73"/>
      <c r="E2" s="73"/>
      <c r="F2" s="73"/>
    </row>
    <row r="3" spans="1:15" ht="23.25" customHeight="1" thickBot="1" x14ac:dyDescent="0.3">
      <c r="D3" s="69" t="s">
        <v>124</v>
      </c>
      <c r="E3" s="70"/>
      <c r="H3" s="78" t="s">
        <v>176</v>
      </c>
      <c r="I3" s="79"/>
      <c r="K3" s="78" t="s">
        <v>126</v>
      </c>
      <c r="L3" s="79"/>
      <c r="N3" s="78" t="s">
        <v>174</v>
      </c>
      <c r="O3" s="79"/>
    </row>
    <row r="4" spans="1:15" s="5" customFormat="1" ht="53.25" customHeight="1" x14ac:dyDescent="0.25">
      <c r="D4" s="2" t="s">
        <v>13</v>
      </c>
      <c r="H4" s="2" t="s">
        <v>124</v>
      </c>
      <c r="I4" s="2" t="s">
        <v>175</v>
      </c>
      <c r="J4" s="67"/>
      <c r="K4" s="77" t="s">
        <v>124</v>
      </c>
      <c r="L4" s="77" t="s">
        <v>175</v>
      </c>
      <c r="N4" s="65" t="s">
        <v>178</v>
      </c>
      <c r="O4" s="65" t="s">
        <v>177</v>
      </c>
    </row>
    <row r="5" spans="1:15" s="5" customFormat="1" ht="18.75" x14ac:dyDescent="0.25">
      <c r="A5" s="11" t="s">
        <v>0</v>
      </c>
      <c r="D5" s="12"/>
      <c r="H5" s="67"/>
      <c r="I5" s="67"/>
      <c r="J5" s="67"/>
      <c r="K5" s="67"/>
      <c r="L5" s="67"/>
      <c r="N5" s="67"/>
      <c r="O5" s="67"/>
    </row>
    <row r="6" spans="1:15" x14ac:dyDescent="0.25">
      <c r="A6" s="5" t="s">
        <v>1</v>
      </c>
    </row>
    <row r="7" spans="1:15" x14ac:dyDescent="0.25">
      <c r="B7" s="1" t="s">
        <v>1</v>
      </c>
      <c r="D7" s="6">
        <f>557337-6703-670-67-7-1-76-8</f>
        <v>549805</v>
      </c>
      <c r="H7" s="6">
        <v>547524.43000000005</v>
      </c>
      <c r="I7" s="6">
        <v>501660.93</v>
      </c>
      <c r="J7" s="6"/>
      <c r="K7" s="6">
        <v>556300</v>
      </c>
      <c r="L7" s="6">
        <v>520478.51</v>
      </c>
      <c r="N7" s="6">
        <v>542338</v>
      </c>
      <c r="O7" s="6">
        <v>526000</v>
      </c>
    </row>
    <row r="8" spans="1:15" x14ac:dyDescent="0.25">
      <c r="B8" s="1" t="s">
        <v>2</v>
      </c>
      <c r="D8" s="6">
        <v>0</v>
      </c>
      <c r="H8" s="6">
        <v>196</v>
      </c>
      <c r="I8" s="6">
        <v>0</v>
      </c>
      <c r="J8" s="6"/>
      <c r="K8" s="6">
        <v>0</v>
      </c>
      <c r="L8" s="6">
        <v>0</v>
      </c>
      <c r="N8" s="6">
        <v>1241</v>
      </c>
      <c r="O8" s="6">
        <v>0</v>
      </c>
    </row>
    <row r="9" spans="1:15" x14ac:dyDescent="0.25">
      <c r="B9" s="1" t="s">
        <v>3</v>
      </c>
      <c r="D9" s="6">
        <v>4000</v>
      </c>
      <c r="H9" s="6">
        <v>4040.65</v>
      </c>
      <c r="I9" s="6">
        <v>4040.65</v>
      </c>
      <c r="J9" s="6"/>
      <c r="K9" s="6">
        <v>4000</v>
      </c>
      <c r="L9" s="6">
        <v>4000</v>
      </c>
      <c r="N9" s="6">
        <v>4013</v>
      </c>
      <c r="O9" s="6">
        <v>4400</v>
      </c>
    </row>
    <row r="10" spans="1:15" x14ac:dyDescent="0.25">
      <c r="B10" s="1" t="s">
        <v>4</v>
      </c>
      <c r="D10" s="6">
        <v>1000</v>
      </c>
      <c r="H10" s="6">
        <v>833</v>
      </c>
      <c r="I10" s="6">
        <v>793</v>
      </c>
      <c r="J10" s="6"/>
      <c r="K10" s="6">
        <v>1000</v>
      </c>
      <c r="L10" s="6">
        <v>1000</v>
      </c>
      <c r="N10" s="6">
        <v>956</v>
      </c>
      <c r="O10" s="6">
        <v>1000</v>
      </c>
    </row>
    <row r="11" spans="1:15" x14ac:dyDescent="0.25">
      <c r="B11" s="1" t="s">
        <v>5</v>
      </c>
      <c r="D11" s="6">
        <v>5000</v>
      </c>
      <c r="H11" s="6">
        <v>3904</v>
      </c>
      <c r="I11" s="6">
        <v>0</v>
      </c>
      <c r="J11" s="6"/>
      <c r="K11" s="6">
        <v>5000</v>
      </c>
      <c r="L11" s="6">
        <v>0</v>
      </c>
      <c r="N11" s="6">
        <v>6111</v>
      </c>
      <c r="O11" s="6">
        <v>5000</v>
      </c>
    </row>
    <row r="12" spans="1:15" x14ac:dyDescent="0.25">
      <c r="B12" s="1" t="s">
        <v>6</v>
      </c>
      <c r="D12" s="6">
        <v>2700</v>
      </c>
      <c r="H12" s="6">
        <v>2409.36</v>
      </c>
      <c r="I12" s="6">
        <v>2409.36</v>
      </c>
      <c r="J12" s="6"/>
      <c r="K12" s="6">
        <v>2700</v>
      </c>
      <c r="L12" s="6">
        <v>2700</v>
      </c>
      <c r="N12" s="6">
        <v>2716</v>
      </c>
      <c r="O12" s="6">
        <v>3000</v>
      </c>
    </row>
    <row r="13" spans="1:15" x14ac:dyDescent="0.25">
      <c r="A13" s="15" t="s">
        <v>7</v>
      </c>
      <c r="B13" s="15"/>
      <c r="C13" s="15"/>
      <c r="D13" s="15">
        <f>SUM(D7:D12)</f>
        <v>562505</v>
      </c>
      <c r="H13" s="15">
        <f>SUM(H7:H12)</f>
        <v>558907.44000000006</v>
      </c>
      <c r="I13" s="15">
        <f>SUM(I7:I12)</f>
        <v>508903.94</v>
      </c>
      <c r="J13" s="15"/>
      <c r="K13" s="15">
        <f>SUM(K7:K12)</f>
        <v>569000</v>
      </c>
      <c r="L13" s="15">
        <f>SUM(L7:L12)</f>
        <v>528178.51</v>
      </c>
      <c r="N13" s="15">
        <f>SUM(N7:N12)</f>
        <v>557375</v>
      </c>
      <c r="O13" s="15">
        <f>SUM(O7:O12)</f>
        <v>539400</v>
      </c>
    </row>
    <row r="14" spans="1:15" ht="5.25" customHeight="1" x14ac:dyDescent="0.25"/>
    <row r="15" spans="1:15" x14ac:dyDescent="0.25">
      <c r="A15" s="5" t="s">
        <v>8</v>
      </c>
    </row>
    <row r="16" spans="1:15" x14ac:dyDescent="0.25">
      <c r="B16" s="1" t="s">
        <v>9</v>
      </c>
      <c r="D16" s="6">
        <v>10000</v>
      </c>
      <c r="H16" s="6">
        <v>10152.219999999999</v>
      </c>
      <c r="I16" s="6">
        <v>8808.06</v>
      </c>
      <c r="J16" s="6"/>
      <c r="K16" s="6">
        <v>10000</v>
      </c>
      <c r="L16" s="6">
        <v>9166.6299999999992</v>
      </c>
      <c r="N16" s="6">
        <v>10734</v>
      </c>
      <c r="O16" s="6">
        <v>10000</v>
      </c>
    </row>
    <row r="17" spans="1:15" x14ac:dyDescent="0.25">
      <c r="B17" s="1" t="s">
        <v>8</v>
      </c>
      <c r="D17" s="6">
        <v>0</v>
      </c>
      <c r="H17" s="6">
        <v>7668.64</v>
      </c>
      <c r="I17" s="6">
        <v>14335.91</v>
      </c>
      <c r="J17" s="6"/>
      <c r="K17" s="6">
        <v>0</v>
      </c>
      <c r="L17" s="6">
        <v>0</v>
      </c>
      <c r="N17" s="6">
        <v>2135</v>
      </c>
      <c r="O17" s="6">
        <v>500</v>
      </c>
    </row>
    <row r="18" spans="1:15" x14ac:dyDescent="0.25">
      <c r="B18" s="1" t="s">
        <v>10</v>
      </c>
      <c r="D18" s="6">
        <v>0</v>
      </c>
      <c r="H18" s="6">
        <v>699</v>
      </c>
      <c r="I18" s="6">
        <v>699</v>
      </c>
      <c r="J18" s="6"/>
      <c r="K18" s="6">
        <v>0</v>
      </c>
      <c r="L18" s="6">
        <v>0</v>
      </c>
      <c r="N18" s="6"/>
      <c r="O18" s="6">
        <v>0</v>
      </c>
    </row>
    <row r="19" spans="1:15" x14ac:dyDescent="0.25">
      <c r="B19" s="1" t="s">
        <v>12</v>
      </c>
      <c r="D19" s="6"/>
      <c r="H19" s="6">
        <v>18.190000000000001</v>
      </c>
      <c r="I19" s="6">
        <v>16.45</v>
      </c>
      <c r="J19" s="6"/>
      <c r="K19" s="6"/>
      <c r="L19" s="6">
        <v>0</v>
      </c>
      <c r="N19" s="6">
        <v>8</v>
      </c>
      <c r="O19" s="6">
        <v>0</v>
      </c>
    </row>
    <row r="20" spans="1:15" x14ac:dyDescent="0.25">
      <c r="B20" s="1" t="s">
        <v>154</v>
      </c>
      <c r="D20" s="6">
        <v>0</v>
      </c>
      <c r="H20" s="6">
        <v>0</v>
      </c>
      <c r="I20" s="6">
        <v>802.52</v>
      </c>
      <c r="J20" s="6"/>
      <c r="K20" s="6">
        <v>0</v>
      </c>
      <c r="L20" s="6">
        <v>0</v>
      </c>
      <c r="N20" s="6">
        <v>0</v>
      </c>
      <c r="O20" s="6">
        <v>0</v>
      </c>
    </row>
    <row r="21" spans="1:15" x14ac:dyDescent="0.25">
      <c r="A21" s="15" t="s">
        <v>11</v>
      </c>
      <c r="B21" s="15"/>
      <c r="C21" s="15"/>
      <c r="D21" s="15">
        <f>SUM(D16:D20)</f>
        <v>10000</v>
      </c>
      <c r="H21" s="15">
        <f t="shared" ref="H21:I21" si="0">SUM(H16:H20)</f>
        <v>18538.05</v>
      </c>
      <c r="I21" s="15">
        <f t="shared" si="0"/>
        <v>24661.940000000002</v>
      </c>
      <c r="J21" s="15"/>
      <c r="K21" s="15">
        <f>SUM(K16:K20)</f>
        <v>10000</v>
      </c>
      <c r="L21" s="15">
        <f>SUM(L16:L20)</f>
        <v>9166.6299999999992</v>
      </c>
      <c r="N21" s="15">
        <f t="shared" ref="N21:O21" si="1">SUM(N16:N20)</f>
        <v>12877</v>
      </c>
      <c r="O21" s="15">
        <f t="shared" si="1"/>
        <v>10500</v>
      </c>
    </row>
    <row r="22" spans="1:15" x14ac:dyDescent="0.25">
      <c r="A22" s="15" t="s">
        <v>14</v>
      </c>
      <c r="B22" s="15"/>
      <c r="C22" s="15"/>
      <c r="D22" s="15">
        <f>+D13+D21</f>
        <v>572505</v>
      </c>
      <c r="H22" s="15">
        <f t="shared" ref="H22:I22" si="2">+H13+H21</f>
        <v>577445.49000000011</v>
      </c>
      <c r="I22" s="15">
        <f t="shared" si="2"/>
        <v>533565.88</v>
      </c>
      <c r="J22" s="15"/>
      <c r="K22" s="15">
        <f>+K13+K21</f>
        <v>579000</v>
      </c>
      <c r="L22" s="15">
        <f>+L13+L21</f>
        <v>537345.14</v>
      </c>
      <c r="N22" s="15">
        <f t="shared" ref="N22:O22" si="3">+N13+N21</f>
        <v>570252</v>
      </c>
      <c r="O22" s="15">
        <f t="shared" si="3"/>
        <v>549900</v>
      </c>
    </row>
    <row r="23" spans="1:15" ht="6" customHeight="1" x14ac:dyDescent="0.25"/>
    <row r="24" spans="1:15" ht="18.75" x14ac:dyDescent="0.25">
      <c r="A24" s="11" t="s">
        <v>15</v>
      </c>
    </row>
    <row r="25" spans="1:15" ht="18.75" x14ac:dyDescent="0.25">
      <c r="A25" s="11" t="s">
        <v>146</v>
      </c>
    </row>
    <row r="26" spans="1:15" x14ac:dyDescent="0.25">
      <c r="B26" s="1" t="s">
        <v>17</v>
      </c>
      <c r="D26" s="1">
        <f>+D22</f>
        <v>572505</v>
      </c>
    </row>
    <row r="27" spans="1:15" x14ac:dyDescent="0.25">
      <c r="B27" s="1" t="s">
        <v>16</v>
      </c>
      <c r="D27" s="6">
        <v>-54900</v>
      </c>
      <c r="K27" s="6"/>
    </row>
    <row r="28" spans="1:15" x14ac:dyDescent="0.25">
      <c r="B28" s="1" t="s">
        <v>18</v>
      </c>
      <c r="D28" s="6">
        <v>-5000</v>
      </c>
      <c r="K28" s="6"/>
    </row>
    <row r="29" spans="1:15" x14ac:dyDescent="0.25">
      <c r="B29" s="1" t="s">
        <v>19</v>
      </c>
      <c r="D29" s="6">
        <v>-1400</v>
      </c>
      <c r="K29" s="6"/>
    </row>
    <row r="30" spans="1:15" x14ac:dyDescent="0.25">
      <c r="B30" s="1" t="s">
        <v>17</v>
      </c>
      <c r="D30" s="1">
        <f>SUM(D26:D29)</f>
        <v>511205</v>
      </c>
    </row>
    <row r="31" spans="1:15" s="5" customFormat="1" x14ac:dyDescent="0.25">
      <c r="A31" s="18"/>
      <c r="B31" s="19" t="s">
        <v>147</v>
      </c>
      <c r="C31" s="18"/>
      <c r="D31" s="18">
        <f>ROUND(+D30*0.1,0)</f>
        <v>51121</v>
      </c>
      <c r="F31" s="18"/>
      <c r="H31" s="20">
        <v>43119.13</v>
      </c>
      <c r="I31" s="20">
        <v>43119.13</v>
      </c>
      <c r="J31" s="20"/>
      <c r="K31" s="20">
        <v>51750</v>
      </c>
      <c r="L31" s="20">
        <v>44578.26</v>
      </c>
      <c r="N31" s="20">
        <v>51179</v>
      </c>
      <c r="O31" s="20">
        <v>49090</v>
      </c>
    </row>
    <row r="32" spans="1:15" s="5" customFormat="1" ht="6.75" customHeight="1" x14ac:dyDescent="0.25">
      <c r="A32" s="22"/>
      <c r="B32" s="23"/>
      <c r="C32" s="22"/>
      <c r="D32" s="22"/>
      <c r="F32" s="22"/>
      <c r="H32" s="24"/>
      <c r="I32" s="24"/>
      <c r="J32" s="24"/>
      <c r="K32" s="24"/>
      <c r="L32" s="24"/>
      <c r="N32" s="24"/>
      <c r="O32" s="24"/>
    </row>
    <row r="33" spans="1:15" s="5" customFormat="1" ht="18.75" x14ac:dyDescent="0.25">
      <c r="A33" s="26" t="s">
        <v>91</v>
      </c>
      <c r="B33" s="23"/>
      <c r="C33" s="22"/>
      <c r="D33" s="22"/>
      <c r="F33" s="22"/>
      <c r="H33" s="24"/>
      <c r="I33" s="24"/>
      <c r="J33" s="24"/>
      <c r="K33" s="24"/>
      <c r="L33" s="24"/>
      <c r="N33" s="24"/>
      <c r="O33" s="24"/>
    </row>
    <row r="34" spans="1:15" x14ac:dyDescent="0.25">
      <c r="A34" s="5" t="s">
        <v>20</v>
      </c>
    </row>
    <row r="35" spans="1:15" x14ac:dyDescent="0.25">
      <c r="B35" s="1" t="s">
        <v>121</v>
      </c>
      <c r="D35" s="6">
        <v>4000</v>
      </c>
      <c r="H35" s="6">
        <v>4611.53</v>
      </c>
      <c r="I35" s="6">
        <v>4281.58</v>
      </c>
      <c r="J35" s="6"/>
      <c r="K35" s="6">
        <v>4000</v>
      </c>
      <c r="L35" s="6">
        <v>3666.63</v>
      </c>
      <c r="N35" s="6">
        <v>4256</v>
      </c>
      <c r="O35" s="6">
        <v>4000</v>
      </c>
    </row>
    <row r="36" spans="1:15" x14ac:dyDescent="0.25">
      <c r="B36" s="1" t="s">
        <v>21</v>
      </c>
      <c r="D36" s="6">
        <v>750</v>
      </c>
      <c r="H36" s="6">
        <v>1387.7</v>
      </c>
      <c r="I36" s="6">
        <v>1387.7</v>
      </c>
      <c r="J36" s="6"/>
      <c r="K36" s="6">
        <v>1000</v>
      </c>
      <c r="L36" s="6">
        <v>916.63</v>
      </c>
      <c r="N36" s="6">
        <v>2277</v>
      </c>
      <c r="O36" s="6">
        <v>1000</v>
      </c>
    </row>
    <row r="37" spans="1:15" x14ac:dyDescent="0.25">
      <c r="B37" s="1" t="s">
        <v>22</v>
      </c>
      <c r="D37" s="6">
        <v>750</v>
      </c>
      <c r="H37" s="6">
        <v>721.94</v>
      </c>
      <c r="I37" s="6">
        <v>721.94</v>
      </c>
      <c r="J37" s="6"/>
      <c r="K37" s="6">
        <v>1500</v>
      </c>
      <c r="L37" s="6">
        <v>1375</v>
      </c>
      <c r="N37" s="6">
        <v>1278</v>
      </c>
      <c r="O37" s="6">
        <v>1000</v>
      </c>
    </row>
    <row r="38" spans="1:15" x14ac:dyDescent="0.25">
      <c r="B38" s="1" t="s">
        <v>23</v>
      </c>
      <c r="D38" s="6">
        <v>500</v>
      </c>
      <c r="H38" s="6">
        <v>665.4</v>
      </c>
      <c r="I38" s="6">
        <v>0</v>
      </c>
      <c r="J38" s="6"/>
      <c r="K38" s="6">
        <v>700</v>
      </c>
      <c r="L38" s="6">
        <v>641.63</v>
      </c>
      <c r="N38" s="6">
        <v>773</v>
      </c>
      <c r="O38" s="6">
        <v>700</v>
      </c>
    </row>
    <row r="39" spans="1:15" x14ac:dyDescent="0.25">
      <c r="B39" s="1" t="s">
        <v>24</v>
      </c>
      <c r="D39" s="6">
        <v>200</v>
      </c>
      <c r="H39" s="6">
        <v>142.77000000000001</v>
      </c>
      <c r="I39" s="6">
        <v>142.77000000000001</v>
      </c>
      <c r="J39" s="6"/>
      <c r="K39" s="6">
        <v>250</v>
      </c>
      <c r="L39" s="6">
        <v>250</v>
      </c>
      <c r="N39" s="6">
        <v>259</v>
      </c>
      <c r="O39" s="6">
        <v>150</v>
      </c>
    </row>
    <row r="40" spans="1:15" x14ac:dyDescent="0.25">
      <c r="B40" s="1" t="s">
        <v>130</v>
      </c>
      <c r="D40" s="6">
        <v>1000</v>
      </c>
      <c r="H40" s="6">
        <v>866.87</v>
      </c>
      <c r="I40" s="6">
        <v>866.87</v>
      </c>
      <c r="J40" s="6"/>
      <c r="K40" s="6">
        <v>1000</v>
      </c>
      <c r="L40" s="6">
        <v>916.63</v>
      </c>
      <c r="N40" s="6">
        <v>459</v>
      </c>
      <c r="O40" s="6">
        <v>1000</v>
      </c>
    </row>
    <row r="41" spans="1:15" s="5" customFormat="1" x14ac:dyDescent="0.25">
      <c r="A41" s="51" t="s">
        <v>25</v>
      </c>
      <c r="B41" s="51"/>
      <c r="C41" s="51"/>
      <c r="D41" s="51">
        <f>SUM(D35:D40)</f>
        <v>7200</v>
      </c>
      <c r="H41" s="51">
        <f t="shared" ref="H41:I41" si="4">SUM(H35:H40)</f>
        <v>8396.2100000000009</v>
      </c>
      <c r="I41" s="51">
        <f t="shared" si="4"/>
        <v>7400.86</v>
      </c>
      <c r="J41" s="51"/>
      <c r="K41" s="51">
        <f>SUM(K35:K40)</f>
        <v>8450</v>
      </c>
      <c r="L41" s="51">
        <f>SUM(L35:L40)</f>
        <v>7766.52</v>
      </c>
      <c r="N41" s="51">
        <f t="shared" ref="N41:O41" si="5">SUM(N35:N40)</f>
        <v>9302</v>
      </c>
      <c r="O41" s="51">
        <f t="shared" si="5"/>
        <v>7850</v>
      </c>
    </row>
    <row r="42" spans="1:15" ht="6" customHeight="1" x14ac:dyDescent="0.25"/>
    <row r="43" spans="1:15" x14ac:dyDescent="0.25">
      <c r="A43" s="51" t="s">
        <v>26</v>
      </c>
      <c r="B43" s="51"/>
      <c r="C43" s="51"/>
      <c r="D43" s="29">
        <v>1100</v>
      </c>
      <c r="H43" s="29">
        <v>1450.9</v>
      </c>
      <c r="I43" s="29">
        <v>1375.37</v>
      </c>
      <c r="J43" s="29"/>
      <c r="K43" s="29">
        <v>2200</v>
      </c>
      <c r="L43" s="29">
        <v>2016.63</v>
      </c>
      <c r="N43" s="29">
        <v>0</v>
      </c>
      <c r="O43" s="29">
        <v>0</v>
      </c>
    </row>
    <row r="44" spans="1:15" ht="7.5" customHeight="1" x14ac:dyDescent="0.25"/>
    <row r="45" spans="1:15" x14ac:dyDescent="0.25">
      <c r="A45" s="5" t="s">
        <v>27</v>
      </c>
    </row>
    <row r="46" spans="1:15" x14ac:dyDescent="0.25">
      <c r="B46" s="1" t="s">
        <v>29</v>
      </c>
      <c r="D46" s="6">
        <v>4000</v>
      </c>
      <c r="H46" s="6">
        <v>6778.83</v>
      </c>
      <c r="I46" s="6">
        <v>6434.99</v>
      </c>
      <c r="J46" s="6"/>
      <c r="K46" s="6">
        <v>6000</v>
      </c>
      <c r="L46" s="6">
        <v>5500</v>
      </c>
      <c r="N46" s="6">
        <v>7075</v>
      </c>
      <c r="O46" s="6">
        <v>5000</v>
      </c>
    </row>
    <row r="47" spans="1:15" x14ac:dyDescent="0.25">
      <c r="B47" s="1" t="s">
        <v>30</v>
      </c>
      <c r="D47" s="6">
        <f>ROUND(52*50,0)</f>
        <v>2600</v>
      </c>
      <c r="H47" s="6">
        <v>0</v>
      </c>
      <c r="I47" s="6">
        <v>0</v>
      </c>
      <c r="J47" s="6"/>
      <c r="K47" s="6">
        <v>0</v>
      </c>
      <c r="L47" s="6">
        <v>0</v>
      </c>
      <c r="N47" s="6">
        <v>0</v>
      </c>
      <c r="O47" s="6">
        <v>0</v>
      </c>
    </row>
    <row r="48" spans="1:15" x14ac:dyDescent="0.25">
      <c r="B48" s="1" t="s">
        <v>31</v>
      </c>
      <c r="D48" s="6">
        <v>1200</v>
      </c>
      <c r="H48" s="6">
        <v>0</v>
      </c>
      <c r="I48" s="6">
        <v>0</v>
      </c>
      <c r="J48" s="6"/>
      <c r="K48" s="6">
        <v>0</v>
      </c>
      <c r="L48" s="6">
        <v>0</v>
      </c>
      <c r="N48" s="6">
        <v>0</v>
      </c>
      <c r="O48" s="6">
        <v>0</v>
      </c>
    </row>
    <row r="49" spans="1:15" x14ac:dyDescent="0.25">
      <c r="B49" s="1" t="s">
        <v>32</v>
      </c>
      <c r="D49" s="6">
        <v>300</v>
      </c>
      <c r="H49" s="6">
        <v>992</v>
      </c>
      <c r="I49" s="6">
        <v>1048</v>
      </c>
      <c r="J49" s="6"/>
      <c r="K49" s="6">
        <v>700</v>
      </c>
      <c r="L49" s="6">
        <v>641.63</v>
      </c>
      <c r="N49" s="6">
        <v>1051</v>
      </c>
      <c r="O49" s="6">
        <v>300</v>
      </c>
    </row>
    <row r="50" spans="1:15" s="5" customFormat="1" x14ac:dyDescent="0.25">
      <c r="A50" s="51" t="s">
        <v>28</v>
      </c>
      <c r="B50" s="51"/>
      <c r="C50" s="51"/>
      <c r="D50" s="51">
        <f>SUM(D46:D49)</f>
        <v>8100</v>
      </c>
      <c r="H50" s="51">
        <f>SUM(H46:H49)</f>
        <v>7770.83</v>
      </c>
      <c r="I50" s="51">
        <f>SUM(I46:I49)</f>
        <v>7482.99</v>
      </c>
      <c r="J50" s="51"/>
      <c r="K50" s="51">
        <f>SUM(K46:K49)</f>
        <v>6700</v>
      </c>
      <c r="L50" s="51">
        <f>SUM(L46:L49)</f>
        <v>6141.63</v>
      </c>
      <c r="N50" s="51">
        <f>SUM(N46:N49)</f>
        <v>8126</v>
      </c>
      <c r="O50" s="51">
        <f>SUM(O46:O49)</f>
        <v>5300</v>
      </c>
    </row>
    <row r="51" spans="1:15" ht="6.75" customHeight="1" x14ac:dyDescent="0.25"/>
    <row r="52" spans="1:15" x14ac:dyDescent="0.25">
      <c r="A52" s="5" t="s">
        <v>33</v>
      </c>
    </row>
    <row r="53" spans="1:15" x14ac:dyDescent="0.25">
      <c r="B53" s="1" t="s">
        <v>34</v>
      </c>
      <c r="D53" s="6">
        <v>5000</v>
      </c>
      <c r="H53" s="6">
        <v>6714.23</v>
      </c>
      <c r="I53" s="6">
        <v>5453.9</v>
      </c>
      <c r="J53" s="6"/>
      <c r="K53" s="6">
        <v>6000</v>
      </c>
      <c r="L53" s="6">
        <v>5500</v>
      </c>
      <c r="N53" s="6">
        <v>5311</v>
      </c>
      <c r="O53" s="6">
        <v>5000</v>
      </c>
    </row>
    <row r="54" spans="1:15" x14ac:dyDescent="0.25">
      <c r="B54" s="1" t="s">
        <v>155</v>
      </c>
      <c r="D54" s="6">
        <v>2000</v>
      </c>
      <c r="H54" s="6">
        <v>0</v>
      </c>
      <c r="I54" s="6">
        <v>0</v>
      </c>
      <c r="J54" s="6"/>
      <c r="K54" s="6">
        <v>0</v>
      </c>
      <c r="L54" s="6">
        <v>0</v>
      </c>
      <c r="N54" s="6">
        <v>0</v>
      </c>
      <c r="O54" s="6">
        <v>0</v>
      </c>
    </row>
    <row r="55" spans="1:15" x14ac:dyDescent="0.25">
      <c r="B55" s="1" t="s">
        <v>159</v>
      </c>
      <c r="D55" s="6">
        <v>0</v>
      </c>
      <c r="H55" s="6">
        <v>0</v>
      </c>
      <c r="I55" s="6">
        <v>0</v>
      </c>
      <c r="J55" s="6"/>
      <c r="K55" s="6">
        <v>0</v>
      </c>
      <c r="L55" s="6">
        <v>0</v>
      </c>
      <c r="N55" s="6">
        <v>0</v>
      </c>
      <c r="O55" s="6">
        <v>0</v>
      </c>
    </row>
    <row r="56" spans="1:15" s="5" customFormat="1" x14ac:dyDescent="0.25">
      <c r="A56" s="51" t="s">
        <v>35</v>
      </c>
      <c r="B56" s="51"/>
      <c r="C56" s="51"/>
      <c r="D56" s="51">
        <f>SUM(D53:D55)</f>
        <v>7000</v>
      </c>
      <c r="H56" s="51">
        <f>SUM(H53:H55)</f>
        <v>6714.23</v>
      </c>
      <c r="I56" s="51">
        <f>SUM(I53:I55)</f>
        <v>5453.9</v>
      </c>
      <c r="J56" s="51"/>
      <c r="K56" s="51">
        <f>SUM(K53:K55)</f>
        <v>6000</v>
      </c>
      <c r="L56" s="51">
        <f>SUM(L53:L55)</f>
        <v>5500</v>
      </c>
      <c r="N56" s="51">
        <f>SUM(N53:N55)</f>
        <v>5311</v>
      </c>
      <c r="O56" s="51">
        <f>SUM(O53:O55)</f>
        <v>5000</v>
      </c>
    </row>
    <row r="57" spans="1:15" ht="6.75" customHeight="1" x14ac:dyDescent="0.25"/>
    <row r="58" spans="1:15" x14ac:dyDescent="0.25">
      <c r="A58" s="5" t="s">
        <v>153</v>
      </c>
    </row>
    <row r="59" spans="1:15" x14ac:dyDescent="0.25">
      <c r="B59" s="1" t="s">
        <v>156</v>
      </c>
      <c r="D59" s="6">
        <v>300</v>
      </c>
      <c r="H59" s="6">
        <v>69.84</v>
      </c>
      <c r="I59" s="6">
        <v>70</v>
      </c>
      <c r="J59" s="6"/>
      <c r="K59" s="6">
        <v>250</v>
      </c>
      <c r="L59" s="6">
        <v>229</v>
      </c>
      <c r="N59" s="6">
        <v>-366</v>
      </c>
      <c r="O59" s="6">
        <v>250</v>
      </c>
    </row>
    <row r="60" spans="1:15" x14ac:dyDescent="0.25">
      <c r="B60" s="1" t="s">
        <v>134</v>
      </c>
      <c r="D60" s="6">
        <v>500</v>
      </c>
      <c r="H60" s="6">
        <v>0</v>
      </c>
      <c r="I60" s="6">
        <v>0</v>
      </c>
      <c r="J60" s="6"/>
      <c r="K60" s="6">
        <v>0</v>
      </c>
      <c r="L60" s="6">
        <v>0</v>
      </c>
      <c r="N60" s="6">
        <v>0</v>
      </c>
      <c r="O60" s="6">
        <v>0</v>
      </c>
    </row>
    <row r="61" spans="1:15" s="5" customFormat="1" x14ac:dyDescent="0.25">
      <c r="A61" s="51" t="s">
        <v>133</v>
      </c>
      <c r="B61" s="51"/>
      <c r="C61" s="51"/>
      <c r="D61" s="51">
        <f>SUM(D59:D60)</f>
        <v>800</v>
      </c>
      <c r="H61" s="51">
        <f>SUM(H59:H60)</f>
        <v>69.84</v>
      </c>
      <c r="I61" s="51">
        <f>SUM(I59:I60)</f>
        <v>70</v>
      </c>
      <c r="J61" s="51"/>
      <c r="K61" s="51">
        <f>SUM(K59:K60)</f>
        <v>250</v>
      </c>
      <c r="L61" s="51">
        <f>SUM(L59:L60)</f>
        <v>229</v>
      </c>
      <c r="N61" s="51">
        <f>SUM(N59:N60)</f>
        <v>-366</v>
      </c>
      <c r="O61" s="51">
        <f>SUM(O59:O60)</f>
        <v>250</v>
      </c>
    </row>
    <row r="62" spans="1:15" ht="5.25" customHeight="1" x14ac:dyDescent="0.25"/>
    <row r="63" spans="1:15" x14ac:dyDescent="0.25">
      <c r="A63" s="51" t="s">
        <v>36</v>
      </c>
      <c r="B63" s="30"/>
      <c r="C63" s="30"/>
      <c r="D63" s="31">
        <v>200</v>
      </c>
      <c r="H63" s="31">
        <v>135.97999999999999</v>
      </c>
      <c r="I63" s="31">
        <v>135.97999999999999</v>
      </c>
      <c r="J63" s="31"/>
      <c r="K63" s="31">
        <v>200</v>
      </c>
      <c r="L63" s="31">
        <v>183.37</v>
      </c>
      <c r="N63" s="31">
        <v>164</v>
      </c>
      <c r="O63" s="31">
        <v>200</v>
      </c>
    </row>
    <row r="64" spans="1:15" ht="6" customHeight="1" x14ac:dyDescent="0.25"/>
    <row r="65" spans="1:15" x14ac:dyDescent="0.25">
      <c r="A65" s="5" t="s">
        <v>37</v>
      </c>
    </row>
    <row r="66" spans="1:15" x14ac:dyDescent="0.25">
      <c r="B66" s="1" t="s">
        <v>38</v>
      </c>
      <c r="D66" s="6">
        <v>600</v>
      </c>
      <c r="H66" s="6">
        <v>0</v>
      </c>
      <c r="I66" s="6">
        <v>0</v>
      </c>
      <c r="J66" s="6"/>
      <c r="K66" s="6">
        <v>1000</v>
      </c>
      <c r="L66" s="6">
        <v>916.63</v>
      </c>
      <c r="N66" s="6">
        <v>350</v>
      </c>
      <c r="O66" s="6">
        <v>1000</v>
      </c>
    </row>
    <row r="67" spans="1:15" x14ac:dyDescent="0.25">
      <c r="B67" s="1" t="s">
        <v>39</v>
      </c>
      <c r="D67" s="6">
        <v>1000</v>
      </c>
      <c r="H67" s="6">
        <v>1062</v>
      </c>
      <c r="I67" s="6">
        <v>1062</v>
      </c>
      <c r="J67" s="6"/>
      <c r="K67" s="6">
        <v>1000</v>
      </c>
      <c r="L67" s="6">
        <v>1000</v>
      </c>
      <c r="N67" s="6">
        <v>1094</v>
      </c>
      <c r="O67" s="6">
        <v>1100</v>
      </c>
    </row>
    <row r="68" spans="1:15" x14ac:dyDescent="0.25">
      <c r="B68" s="1" t="s">
        <v>40</v>
      </c>
      <c r="D68" s="6">
        <v>700</v>
      </c>
      <c r="H68" s="6">
        <v>150</v>
      </c>
      <c r="I68" s="6">
        <v>150</v>
      </c>
      <c r="J68" s="6"/>
      <c r="K68" s="6">
        <v>1500</v>
      </c>
      <c r="L68" s="6">
        <v>1375</v>
      </c>
      <c r="N68" s="6">
        <v>1261</v>
      </c>
      <c r="O68" s="6">
        <v>1500</v>
      </c>
    </row>
    <row r="69" spans="1:15" x14ac:dyDescent="0.25">
      <c r="B69" s="1" t="s">
        <v>41</v>
      </c>
      <c r="D69" s="6">
        <v>800</v>
      </c>
      <c r="H69" s="6">
        <v>338</v>
      </c>
      <c r="I69" s="6">
        <v>0</v>
      </c>
      <c r="J69" s="6"/>
      <c r="K69" s="6">
        <v>800</v>
      </c>
      <c r="L69" s="6">
        <v>733.37</v>
      </c>
      <c r="N69" s="6">
        <v>422</v>
      </c>
      <c r="O69" s="6">
        <v>800</v>
      </c>
    </row>
    <row r="70" spans="1:15" x14ac:dyDescent="0.25">
      <c r="B70" s="1" t="s">
        <v>42</v>
      </c>
      <c r="D70" s="6">
        <v>800</v>
      </c>
      <c r="H70" s="6">
        <v>1335</v>
      </c>
      <c r="I70" s="6">
        <v>425</v>
      </c>
      <c r="J70" s="6"/>
      <c r="K70" s="6">
        <v>800</v>
      </c>
      <c r="L70" s="6">
        <v>733.37</v>
      </c>
      <c r="N70" s="6">
        <v>1084</v>
      </c>
      <c r="O70" s="6">
        <v>800</v>
      </c>
    </row>
    <row r="71" spans="1:15" s="5" customFormat="1" x14ac:dyDescent="0.25">
      <c r="A71" s="51" t="s">
        <v>43</v>
      </c>
      <c r="B71" s="51"/>
      <c r="C71" s="51"/>
      <c r="D71" s="51">
        <f>SUM(D66:D70)</f>
        <v>3900</v>
      </c>
      <c r="H71" s="51">
        <f>SUM(H66:H70)</f>
        <v>2885</v>
      </c>
      <c r="I71" s="51">
        <f>SUM(I66:I70)</f>
        <v>1637</v>
      </c>
      <c r="J71" s="51"/>
      <c r="K71" s="51">
        <f>SUM(K66:K70)</f>
        <v>5100</v>
      </c>
      <c r="L71" s="51">
        <f>SUM(L66:L70)</f>
        <v>4758.37</v>
      </c>
      <c r="N71" s="51">
        <f>SUM(N66:N70)</f>
        <v>4211</v>
      </c>
      <c r="O71" s="51">
        <f>SUM(O66:O70)</f>
        <v>5200</v>
      </c>
    </row>
    <row r="72" spans="1:15" ht="6" customHeight="1" x14ac:dyDescent="0.25"/>
    <row r="73" spans="1:15" x14ac:dyDescent="0.25">
      <c r="A73" s="5" t="s">
        <v>44</v>
      </c>
    </row>
    <row r="74" spans="1:15" x14ac:dyDescent="0.25">
      <c r="B74" s="1" t="s">
        <v>45</v>
      </c>
      <c r="D74" s="6">
        <v>6000</v>
      </c>
      <c r="H74" s="6">
        <v>6754.87</v>
      </c>
      <c r="I74" s="6">
        <v>6287.61</v>
      </c>
      <c r="J74" s="6"/>
      <c r="K74" s="6">
        <v>7000</v>
      </c>
      <c r="L74" s="6">
        <v>6416.63</v>
      </c>
      <c r="N74" s="6">
        <v>6352</v>
      </c>
      <c r="O74" s="6">
        <v>7000</v>
      </c>
    </row>
    <row r="75" spans="1:15" x14ac:dyDescent="0.25">
      <c r="B75" s="1" t="s">
        <v>46</v>
      </c>
      <c r="D75" s="6">
        <v>5500</v>
      </c>
      <c r="H75" s="6">
        <v>5102.22</v>
      </c>
      <c r="I75" s="6">
        <v>5038.5200000000004</v>
      </c>
      <c r="J75" s="6"/>
      <c r="K75" s="6">
        <v>7000</v>
      </c>
      <c r="L75" s="6">
        <v>6416.63</v>
      </c>
      <c r="N75" s="6">
        <v>5514</v>
      </c>
      <c r="O75" s="6">
        <v>7000</v>
      </c>
    </row>
    <row r="76" spans="1:15" x14ac:dyDescent="0.25">
      <c r="B76" s="1" t="s">
        <v>157</v>
      </c>
      <c r="D76" s="6">
        <v>500</v>
      </c>
      <c r="H76" s="6">
        <v>490.5</v>
      </c>
      <c r="I76" s="6">
        <v>168</v>
      </c>
      <c r="J76" s="6"/>
      <c r="K76" s="6">
        <v>1000</v>
      </c>
      <c r="L76" s="6">
        <v>916.63</v>
      </c>
      <c r="N76" s="6">
        <v>814</v>
      </c>
      <c r="O76" s="6">
        <v>1000</v>
      </c>
    </row>
    <row r="77" spans="1:15" x14ac:dyDescent="0.25">
      <c r="B77" s="1" t="s">
        <v>47</v>
      </c>
      <c r="D77" s="6">
        <v>253</v>
      </c>
      <c r="H77" s="6">
        <v>1519.9</v>
      </c>
      <c r="I77" s="6">
        <v>1393.4</v>
      </c>
      <c r="J77" s="6"/>
      <c r="K77" s="6">
        <v>2000</v>
      </c>
      <c r="L77" s="6">
        <v>1833.37</v>
      </c>
      <c r="N77" s="6">
        <v>1709</v>
      </c>
      <c r="O77" s="6">
        <v>2300</v>
      </c>
    </row>
    <row r="78" spans="1:15" x14ac:dyDescent="0.25">
      <c r="B78" s="1" t="s">
        <v>48</v>
      </c>
      <c r="D78" s="6">
        <v>18000</v>
      </c>
      <c r="H78" s="6">
        <v>19805.919999999998</v>
      </c>
      <c r="I78" s="6">
        <v>17395.87</v>
      </c>
      <c r="J78" s="6"/>
      <c r="K78" s="6">
        <v>19000</v>
      </c>
      <c r="L78" s="6">
        <v>17416.63</v>
      </c>
      <c r="N78" s="6">
        <v>21235</v>
      </c>
      <c r="O78" s="6">
        <v>19000</v>
      </c>
    </row>
    <row r="79" spans="1:15" x14ac:dyDescent="0.25">
      <c r="B79" s="1" t="s">
        <v>49</v>
      </c>
      <c r="D79" s="6">
        <v>1000</v>
      </c>
      <c r="H79" s="6">
        <v>2509.48</v>
      </c>
      <c r="I79" s="6">
        <v>2359.34</v>
      </c>
      <c r="J79" s="6"/>
      <c r="K79" s="6">
        <v>1000</v>
      </c>
      <c r="L79" s="6">
        <v>916.63</v>
      </c>
      <c r="N79" s="6">
        <v>1645</v>
      </c>
      <c r="O79" s="6">
        <v>800</v>
      </c>
    </row>
    <row r="80" spans="1:15" x14ac:dyDescent="0.25">
      <c r="B80" s="1" t="s">
        <v>50</v>
      </c>
      <c r="D80" s="6">
        <v>1000</v>
      </c>
      <c r="H80" s="6">
        <v>404.26</v>
      </c>
      <c r="I80" s="6">
        <v>275.64999999999998</v>
      </c>
      <c r="J80" s="6"/>
      <c r="K80" s="6">
        <v>1000</v>
      </c>
      <c r="L80" s="6">
        <v>916.63</v>
      </c>
      <c r="N80" s="6">
        <v>0</v>
      </c>
      <c r="O80" s="6">
        <v>0</v>
      </c>
    </row>
    <row r="81" spans="1:15" s="5" customFormat="1" x14ac:dyDescent="0.25">
      <c r="A81" s="51" t="s">
        <v>53</v>
      </c>
      <c r="B81" s="51"/>
      <c r="C81" s="51"/>
      <c r="D81" s="51">
        <f>SUM(D74:D80)</f>
        <v>32253</v>
      </c>
      <c r="H81" s="51">
        <f>SUM(H74:H80)</f>
        <v>36587.15</v>
      </c>
      <c r="I81" s="51">
        <f>SUM(I74:I80)</f>
        <v>32918.39</v>
      </c>
      <c r="J81" s="51"/>
      <c r="K81" s="51">
        <f>SUM(K74:K80)</f>
        <v>38000</v>
      </c>
      <c r="L81" s="51">
        <f>SUM(L74:L80)</f>
        <v>34833.149999999994</v>
      </c>
      <c r="N81" s="51">
        <f>SUM(N74:N80)</f>
        <v>37269</v>
      </c>
      <c r="O81" s="51">
        <f>SUM(O74:O80)</f>
        <v>37100</v>
      </c>
    </row>
    <row r="82" spans="1:15" x14ac:dyDescent="0.25">
      <c r="A82" s="51" t="s">
        <v>132</v>
      </c>
      <c r="B82" s="32"/>
      <c r="C82" s="32"/>
      <c r="D82" s="51">
        <f>+D41+D43+D50+D56+D63+D71+D81+D61</f>
        <v>60553</v>
      </c>
      <c r="H82" s="51">
        <f>+H41+H43+H50+H56+H63+H71+H81+H61</f>
        <v>64010.14</v>
      </c>
      <c r="I82" s="51">
        <f>+I41+I43+I50+I56+I63+I71+I81+I61</f>
        <v>56474.49</v>
      </c>
      <c r="J82" s="51"/>
      <c r="K82" s="51">
        <f>+K41+K43+K50+K56+K63+K71+K81+K61</f>
        <v>66900</v>
      </c>
      <c r="L82" s="51">
        <f>+L41+L43+L50+L56+L63+L71+L81+L61</f>
        <v>61428.67</v>
      </c>
      <c r="N82" s="51">
        <f>+N41+N43+N50+N56+N63+N71+N81+N61</f>
        <v>64017</v>
      </c>
      <c r="O82" s="51">
        <f>+O41+O43+O50+O56+O63+O71+O81+O61</f>
        <v>60900</v>
      </c>
    </row>
    <row r="83" spans="1:15" ht="8.25" customHeight="1" x14ac:dyDescent="0.25"/>
    <row r="84" spans="1:15" ht="18.75" x14ac:dyDescent="0.25">
      <c r="A84" s="11" t="s">
        <v>51</v>
      </c>
    </row>
    <row r="85" spans="1:15" x14ac:dyDescent="0.25">
      <c r="A85" s="5" t="s">
        <v>52</v>
      </c>
      <c r="D85" s="45"/>
    </row>
    <row r="86" spans="1:15" x14ac:dyDescent="0.25">
      <c r="B86" s="1" t="s">
        <v>54</v>
      </c>
      <c r="D86" s="52">
        <f>ROUND(+K86*(1+LEFT(C$133,1)/100),0)</f>
        <v>89731</v>
      </c>
      <c r="H86" s="6">
        <v>89731</v>
      </c>
      <c r="I86" s="6">
        <v>81037.41</v>
      </c>
      <c r="J86" s="6"/>
      <c r="K86" s="6">
        <v>89731</v>
      </c>
      <c r="L86" s="6">
        <v>82253.38</v>
      </c>
      <c r="N86" s="6">
        <v>87117</v>
      </c>
      <c r="O86" s="6">
        <v>87117</v>
      </c>
    </row>
    <row r="87" spans="1:15" x14ac:dyDescent="0.25">
      <c r="B87" s="1" t="s">
        <v>55</v>
      </c>
      <c r="D87" s="6">
        <v>5500</v>
      </c>
      <c r="H87" s="6">
        <v>5499.96</v>
      </c>
      <c r="I87" s="6">
        <v>5041.63</v>
      </c>
      <c r="J87" s="6"/>
      <c r="K87" s="6">
        <v>5500</v>
      </c>
      <c r="L87" s="6">
        <v>5041.63</v>
      </c>
      <c r="N87" s="6">
        <v>5500</v>
      </c>
      <c r="O87" s="6">
        <v>5500</v>
      </c>
    </row>
    <row r="88" spans="1:15" x14ac:dyDescent="0.25">
      <c r="B88" s="1" t="s">
        <v>56</v>
      </c>
      <c r="D88" s="6">
        <v>34149</v>
      </c>
      <c r="H88" s="6">
        <v>34203.35</v>
      </c>
      <c r="I88" s="6">
        <v>31381.95</v>
      </c>
      <c r="J88" s="6"/>
      <c r="K88" s="6">
        <v>34603</v>
      </c>
      <c r="L88" s="6">
        <v>31719.38</v>
      </c>
      <c r="N88" s="6">
        <v>33221</v>
      </c>
      <c r="O88" s="6">
        <v>33148</v>
      </c>
    </row>
    <row r="89" spans="1:15" x14ac:dyDescent="0.25">
      <c r="B89" s="1" t="s">
        <v>57</v>
      </c>
      <c r="D89" s="6">
        <v>4000</v>
      </c>
      <c r="H89" s="6">
        <v>4048.31</v>
      </c>
      <c r="I89" s="6">
        <v>4048.31</v>
      </c>
      <c r="J89" s="6"/>
      <c r="K89" s="6">
        <v>4000</v>
      </c>
      <c r="L89" s="6">
        <v>3666.63</v>
      </c>
      <c r="N89" s="6">
        <v>5289</v>
      </c>
      <c r="O89" s="6">
        <v>3500</v>
      </c>
    </row>
    <row r="90" spans="1:15" x14ac:dyDescent="0.25">
      <c r="B90" s="1" t="s">
        <v>58</v>
      </c>
      <c r="D90" s="6">
        <v>3000</v>
      </c>
      <c r="H90" s="6">
        <v>1527.92</v>
      </c>
      <c r="I90" s="6">
        <v>1527.92</v>
      </c>
      <c r="J90" s="6"/>
      <c r="K90" s="6">
        <v>3000</v>
      </c>
      <c r="L90" s="6">
        <v>2750</v>
      </c>
      <c r="N90" s="6">
        <v>1180</v>
      </c>
      <c r="O90" s="6">
        <v>3000</v>
      </c>
    </row>
    <row r="91" spans="1:15" s="5" customFormat="1" x14ac:dyDescent="0.25">
      <c r="A91" s="33" t="s">
        <v>59</v>
      </c>
      <c r="B91" s="33"/>
      <c r="C91" s="33"/>
      <c r="D91" s="33">
        <f>SUM(D86:D90)</f>
        <v>136380</v>
      </c>
      <c r="H91" s="33">
        <f>SUM(H86:H90)</f>
        <v>135010.54</v>
      </c>
      <c r="I91" s="33">
        <f>SUM(I86:I90)</f>
        <v>123037.22</v>
      </c>
      <c r="J91" s="33"/>
      <c r="K91" s="33">
        <f>SUM(K86:K90)</f>
        <v>136834</v>
      </c>
      <c r="L91" s="33">
        <f>SUM(L86:L90)</f>
        <v>125431.02000000002</v>
      </c>
      <c r="N91" s="33">
        <f>SUM(N86:N90)</f>
        <v>132307</v>
      </c>
      <c r="O91" s="33">
        <f>SUM(O86:O90)</f>
        <v>132265</v>
      </c>
    </row>
    <row r="92" spans="1:15" ht="6.75" customHeight="1" x14ac:dyDescent="0.25"/>
    <row r="93" spans="1:15" x14ac:dyDescent="0.25">
      <c r="A93" s="5" t="s">
        <v>60</v>
      </c>
    </row>
    <row r="94" spans="1:15" x14ac:dyDescent="0.25">
      <c r="B94" s="1" t="s">
        <v>61</v>
      </c>
      <c r="D94" s="52">
        <f>ROUND(+K94*(1+LEFT(C$133,1)/100),0)</f>
        <v>11307</v>
      </c>
      <c r="H94" s="6">
        <v>11307.12</v>
      </c>
      <c r="I94" s="6">
        <v>10364.86</v>
      </c>
      <c r="J94" s="6"/>
      <c r="K94" s="6">
        <v>11307</v>
      </c>
      <c r="L94" s="6">
        <v>10364.75</v>
      </c>
      <c r="N94" s="6">
        <v>10978</v>
      </c>
      <c r="O94" s="6">
        <v>10978</v>
      </c>
    </row>
    <row r="95" spans="1:15" x14ac:dyDescent="0.25">
      <c r="B95" s="1" t="s">
        <v>62</v>
      </c>
      <c r="D95" s="6">
        <v>5000</v>
      </c>
      <c r="H95" s="6">
        <v>4999.92</v>
      </c>
      <c r="I95" s="6">
        <v>4583.26</v>
      </c>
      <c r="J95" s="6"/>
      <c r="K95" s="6">
        <v>5000</v>
      </c>
      <c r="L95" s="6">
        <v>4583.37</v>
      </c>
      <c r="N95" s="6">
        <v>5000</v>
      </c>
      <c r="O95" s="6">
        <v>5000</v>
      </c>
    </row>
    <row r="96" spans="1:15" s="5" customFormat="1" x14ac:dyDescent="0.25">
      <c r="A96" s="33" t="s">
        <v>63</v>
      </c>
      <c r="B96" s="33"/>
      <c r="C96" s="33"/>
      <c r="D96" s="33">
        <f>SUM(D94:D95)</f>
        <v>16307</v>
      </c>
      <c r="H96" s="33">
        <f>SUM(H94:H95)</f>
        <v>16307.04</v>
      </c>
      <c r="I96" s="33">
        <f>SUM(I94:I95)</f>
        <v>14948.12</v>
      </c>
      <c r="J96" s="33"/>
      <c r="K96" s="33">
        <f>SUM(K94:K95)</f>
        <v>16307</v>
      </c>
      <c r="L96" s="33">
        <f>SUM(L94:L95)</f>
        <v>14948.119999999999</v>
      </c>
      <c r="N96" s="33">
        <f>SUM(N94:N95)</f>
        <v>15978</v>
      </c>
      <c r="O96" s="33">
        <f>SUM(O94:O95)</f>
        <v>15978</v>
      </c>
    </row>
    <row r="97" spans="1:15" ht="4.5" customHeight="1" x14ac:dyDescent="0.25"/>
    <row r="98" spans="1:15" x14ac:dyDescent="0.25">
      <c r="A98" s="5" t="s">
        <v>64</v>
      </c>
    </row>
    <row r="99" spans="1:15" x14ac:dyDescent="0.25">
      <c r="B99" s="1" t="s">
        <v>61</v>
      </c>
      <c r="D99" s="52">
        <f>ROUND(+K99*(1+LEFT(C$133,1)/100),0)</f>
        <v>13527</v>
      </c>
      <c r="H99" s="6">
        <v>13527.12</v>
      </c>
      <c r="I99" s="6">
        <v>12399.86</v>
      </c>
      <c r="J99" s="6"/>
      <c r="K99" s="6">
        <v>13527</v>
      </c>
      <c r="L99" s="6">
        <v>12399.75</v>
      </c>
      <c r="N99" s="6">
        <v>13133</v>
      </c>
      <c r="O99" s="6">
        <v>13133</v>
      </c>
    </row>
    <row r="100" spans="1:15" x14ac:dyDescent="0.25">
      <c r="B100" s="1" t="s">
        <v>65</v>
      </c>
      <c r="D100" s="6">
        <v>750</v>
      </c>
      <c r="H100" s="6">
        <v>648.75</v>
      </c>
      <c r="I100" s="6">
        <v>648.75</v>
      </c>
      <c r="J100" s="6"/>
      <c r="K100" s="6">
        <v>1000</v>
      </c>
      <c r="L100" s="6">
        <v>916.63</v>
      </c>
      <c r="N100" s="6">
        <v>739</v>
      </c>
      <c r="O100" s="6">
        <v>1000</v>
      </c>
    </row>
    <row r="101" spans="1:15" s="5" customFormat="1" x14ac:dyDescent="0.25">
      <c r="A101" s="33" t="s">
        <v>66</v>
      </c>
      <c r="B101" s="33"/>
      <c r="C101" s="33"/>
      <c r="D101" s="33">
        <f>SUM(D99:D100)</f>
        <v>14277</v>
      </c>
      <c r="H101" s="33">
        <f>SUM(H99:H100)</f>
        <v>14175.87</v>
      </c>
      <c r="I101" s="33">
        <f>SUM(I99:I100)</f>
        <v>13048.61</v>
      </c>
      <c r="J101" s="33"/>
      <c r="K101" s="33">
        <f>SUM(K99:K100)</f>
        <v>14527</v>
      </c>
      <c r="L101" s="33">
        <f>SUM(L99:L100)</f>
        <v>13316.38</v>
      </c>
      <c r="N101" s="33">
        <f>SUM(N99:N100)</f>
        <v>13872</v>
      </c>
      <c r="O101" s="33">
        <f>SUM(O99:O100)</f>
        <v>14133</v>
      </c>
    </row>
    <row r="102" spans="1:15" ht="6" customHeight="1" x14ac:dyDescent="0.25"/>
    <row r="103" spans="1:15" x14ac:dyDescent="0.25">
      <c r="A103" s="5" t="s">
        <v>67</v>
      </c>
    </row>
    <row r="104" spans="1:15" x14ac:dyDescent="0.25">
      <c r="B104" s="1" t="s">
        <v>61</v>
      </c>
      <c r="D104" s="6">
        <v>34954</v>
      </c>
      <c r="H104" s="6">
        <v>33246</v>
      </c>
      <c r="I104" s="6">
        <v>30475.5</v>
      </c>
      <c r="J104" s="6"/>
      <c r="K104" s="6">
        <v>33246</v>
      </c>
      <c r="L104" s="6">
        <v>30475.5</v>
      </c>
      <c r="N104" s="6">
        <v>32277</v>
      </c>
      <c r="O104" s="6">
        <v>32277</v>
      </c>
    </row>
    <row r="105" spans="1:15" x14ac:dyDescent="0.25">
      <c r="B105" s="1" t="s">
        <v>56</v>
      </c>
      <c r="D105" s="6">
        <v>4999</v>
      </c>
      <c r="H105" s="6">
        <v>5044.57</v>
      </c>
      <c r="I105" s="6">
        <v>4648.3900000000003</v>
      </c>
      <c r="J105" s="6"/>
      <c r="K105" s="6">
        <v>5087</v>
      </c>
      <c r="L105" s="6">
        <v>4663.12</v>
      </c>
      <c r="N105" s="6">
        <v>4642</v>
      </c>
      <c r="O105" s="6">
        <v>4616</v>
      </c>
    </row>
    <row r="106" spans="1:15" x14ac:dyDescent="0.25">
      <c r="B106" s="1" t="s">
        <v>58</v>
      </c>
      <c r="D106" s="6">
        <v>750</v>
      </c>
      <c r="H106" s="6">
        <v>717.06</v>
      </c>
      <c r="I106" s="6">
        <v>387</v>
      </c>
      <c r="J106" s="6"/>
      <c r="K106" s="6">
        <v>750</v>
      </c>
      <c r="L106" s="6">
        <v>687.5</v>
      </c>
      <c r="N106" s="6">
        <v>106</v>
      </c>
      <c r="O106" s="6">
        <v>750</v>
      </c>
    </row>
    <row r="107" spans="1:15" x14ac:dyDescent="0.25">
      <c r="B107" s="1" t="s">
        <v>57</v>
      </c>
      <c r="D107" s="6">
        <v>2000</v>
      </c>
      <c r="H107" s="6">
        <v>2000</v>
      </c>
      <c r="I107" s="6">
        <v>2000</v>
      </c>
      <c r="J107" s="6"/>
      <c r="K107" s="6">
        <v>2000</v>
      </c>
      <c r="L107" s="6">
        <v>1833.37</v>
      </c>
      <c r="N107" s="6">
        <v>2394</v>
      </c>
      <c r="O107" s="6">
        <v>1750</v>
      </c>
    </row>
    <row r="108" spans="1:15" x14ac:dyDescent="0.25">
      <c r="B108" s="1" t="s">
        <v>62</v>
      </c>
      <c r="D108" s="6">
        <v>1500</v>
      </c>
      <c r="H108" s="6">
        <v>1660.55</v>
      </c>
      <c r="I108" s="6">
        <v>990.1</v>
      </c>
      <c r="J108" s="6"/>
      <c r="K108" s="6">
        <v>1270</v>
      </c>
      <c r="L108" s="6">
        <v>1164.1300000000001</v>
      </c>
      <c r="N108" s="6">
        <v>1240</v>
      </c>
      <c r="O108" s="6">
        <v>1271</v>
      </c>
    </row>
    <row r="109" spans="1:15" x14ac:dyDescent="0.25">
      <c r="B109" s="1" t="s">
        <v>68</v>
      </c>
      <c r="D109" s="6">
        <v>1116</v>
      </c>
      <c r="H109" s="6">
        <v>1057.54</v>
      </c>
      <c r="I109" s="6">
        <v>964.59</v>
      </c>
      <c r="J109" s="6"/>
      <c r="K109" s="6">
        <v>1000</v>
      </c>
      <c r="L109" s="6">
        <v>916.63</v>
      </c>
      <c r="N109" s="6">
        <v>0</v>
      </c>
      <c r="O109" s="6">
        <v>0</v>
      </c>
    </row>
    <row r="110" spans="1:15" s="5" customFormat="1" x14ac:dyDescent="0.25">
      <c r="A110" s="33" t="s">
        <v>69</v>
      </c>
      <c r="B110" s="33"/>
      <c r="C110" s="33"/>
      <c r="D110" s="33">
        <f>SUM(D104:D109)</f>
        <v>45319</v>
      </c>
      <c r="H110" s="33">
        <f>SUM(H104:H109)</f>
        <v>43725.72</v>
      </c>
      <c r="I110" s="33">
        <f>SUM(I104:I109)</f>
        <v>39465.579999999994</v>
      </c>
      <c r="J110" s="33"/>
      <c r="K110" s="33">
        <f>SUM(K104:K109)</f>
        <v>43353</v>
      </c>
      <c r="L110" s="33">
        <f>SUM(L104:L109)</f>
        <v>39740.25</v>
      </c>
      <c r="N110" s="33">
        <f>SUM(N104:N109)</f>
        <v>40659</v>
      </c>
      <c r="O110" s="33">
        <f>SUM(O104:O109)</f>
        <v>40664</v>
      </c>
    </row>
    <row r="111" spans="1:15" ht="6" customHeight="1" x14ac:dyDescent="0.25"/>
    <row r="112" spans="1:15" x14ac:dyDescent="0.25">
      <c r="A112" s="5" t="s">
        <v>70</v>
      </c>
    </row>
    <row r="113" spans="1:15" x14ac:dyDescent="0.25">
      <c r="B113" s="1" t="s">
        <v>71</v>
      </c>
      <c r="D113" s="52">
        <f>ROUND(+K113*(1+LEFT(C$133,1)/100),0)</f>
        <v>9580</v>
      </c>
      <c r="H113" s="6">
        <v>9580.08</v>
      </c>
      <c r="I113" s="6">
        <v>8781.74</v>
      </c>
      <c r="J113" s="6"/>
      <c r="K113" s="6">
        <v>9580</v>
      </c>
      <c r="L113" s="6">
        <v>8781.6299999999992</v>
      </c>
      <c r="N113" s="6">
        <v>9580</v>
      </c>
      <c r="O113" s="6">
        <v>9580</v>
      </c>
    </row>
    <row r="114" spans="1:15" x14ac:dyDescent="0.25">
      <c r="B114" s="1" t="s">
        <v>72</v>
      </c>
      <c r="D114" s="6">
        <v>500</v>
      </c>
      <c r="H114" s="6">
        <v>200</v>
      </c>
      <c r="I114" s="6">
        <v>200</v>
      </c>
      <c r="J114" s="6"/>
      <c r="K114" s="6">
        <v>900</v>
      </c>
      <c r="L114" s="6">
        <v>825</v>
      </c>
      <c r="N114" s="6">
        <v>400</v>
      </c>
      <c r="O114" s="6">
        <v>900</v>
      </c>
    </row>
    <row r="115" spans="1:15" x14ac:dyDescent="0.25">
      <c r="B115" s="1" t="s">
        <v>73</v>
      </c>
      <c r="D115" s="52">
        <f>ROUND(+K115*(1+LEFT(C$133,1)/100),0)</f>
        <v>17796</v>
      </c>
      <c r="H115" s="6">
        <v>17915.759999999998</v>
      </c>
      <c r="I115" s="6">
        <v>16560.28</v>
      </c>
      <c r="J115" s="6"/>
      <c r="K115" s="6">
        <v>17796</v>
      </c>
      <c r="L115" s="6">
        <v>16313</v>
      </c>
      <c r="N115" s="6">
        <v>17492</v>
      </c>
      <c r="O115" s="6">
        <v>20400</v>
      </c>
    </row>
    <row r="116" spans="1:15" x14ac:dyDescent="0.25">
      <c r="B116" s="1" t="s">
        <v>74</v>
      </c>
      <c r="D116" s="52">
        <f>ROUND(+K116*(1+LEFT(C$133,1)/100),0)</f>
        <v>6581</v>
      </c>
      <c r="H116" s="6">
        <v>6581</v>
      </c>
      <c r="I116" s="6">
        <v>5922.9</v>
      </c>
      <c r="J116" s="6"/>
      <c r="K116" s="6">
        <v>6581</v>
      </c>
      <c r="L116" s="6">
        <v>5922.9</v>
      </c>
      <c r="N116" s="6">
        <v>6389</v>
      </c>
      <c r="O116" s="6">
        <v>6389</v>
      </c>
    </row>
    <row r="117" spans="1:15" x14ac:dyDescent="0.25">
      <c r="B117" s="1" t="s">
        <v>75</v>
      </c>
      <c r="D117" s="52">
        <f>ROUND(+K117*(1+LEFT(C$133,1)/100),0)</f>
        <v>1698</v>
      </c>
      <c r="H117" s="6">
        <v>1697.4</v>
      </c>
      <c r="I117" s="6">
        <v>1555.95</v>
      </c>
      <c r="J117" s="6"/>
      <c r="K117" s="6">
        <v>1698</v>
      </c>
      <c r="L117" s="6">
        <v>1556.5</v>
      </c>
      <c r="N117" s="6">
        <v>1697</v>
      </c>
      <c r="O117" s="6">
        <v>1698</v>
      </c>
    </row>
    <row r="118" spans="1:15" x14ac:dyDescent="0.25">
      <c r="B118" s="1" t="s">
        <v>76</v>
      </c>
      <c r="D118" s="6">
        <v>2400</v>
      </c>
      <c r="H118" s="6">
        <v>2400</v>
      </c>
      <c r="I118" s="6">
        <v>2200</v>
      </c>
      <c r="J118" s="6"/>
      <c r="K118" s="6">
        <v>2500</v>
      </c>
      <c r="L118" s="6">
        <v>2291.63</v>
      </c>
      <c r="N118" s="6">
        <v>2400</v>
      </c>
      <c r="O118" s="6">
        <v>2500</v>
      </c>
    </row>
    <row r="119" spans="1:15" s="5" customFormat="1" x14ac:dyDescent="0.25">
      <c r="A119" s="33" t="s">
        <v>77</v>
      </c>
      <c r="B119" s="33"/>
      <c r="C119" s="33"/>
      <c r="D119" s="33">
        <f>SUM(D113:D118)</f>
        <v>38555</v>
      </c>
      <c r="H119" s="33">
        <f>SUM(H113:H118)</f>
        <v>38374.239999999998</v>
      </c>
      <c r="I119" s="33">
        <f>SUM(I113:I118)</f>
        <v>35220.869999999995</v>
      </c>
      <c r="J119" s="33"/>
      <c r="K119" s="33">
        <f>SUM(K113:K118)</f>
        <v>39055</v>
      </c>
      <c r="L119" s="33">
        <f>SUM(L113:L118)</f>
        <v>35690.659999999996</v>
      </c>
      <c r="N119" s="33">
        <f>SUM(N113:N118)</f>
        <v>37958</v>
      </c>
      <c r="O119" s="33">
        <f>SUM(O113:O118)</f>
        <v>41467</v>
      </c>
    </row>
    <row r="120" spans="1:15" ht="6.75" customHeight="1" x14ac:dyDescent="0.25"/>
    <row r="121" spans="1:15" x14ac:dyDescent="0.25">
      <c r="A121" s="5" t="s">
        <v>78</v>
      </c>
    </row>
    <row r="122" spans="1:15" x14ac:dyDescent="0.25">
      <c r="B122" s="1" t="s">
        <v>161</v>
      </c>
      <c r="D122" s="6">
        <v>12075</v>
      </c>
      <c r="H122" s="6">
        <v>12389.46</v>
      </c>
      <c r="I122" s="6">
        <v>11464.97</v>
      </c>
      <c r="J122" s="6"/>
      <c r="K122" s="6">
        <v>10655</v>
      </c>
      <c r="L122" s="6">
        <v>9767.1200000000008</v>
      </c>
      <c r="N122" s="6">
        <v>11830</v>
      </c>
      <c r="O122" s="6">
        <v>10343</v>
      </c>
    </row>
    <row r="123" spans="1:15" ht="39.75" customHeight="1" x14ac:dyDescent="0.25">
      <c r="B123" s="1" t="s">
        <v>80</v>
      </c>
      <c r="D123" s="52">
        <f>ROUND(+K123/2*(LEFT(C$133,1)/100),0)+K123</f>
        <v>31118</v>
      </c>
      <c r="H123" s="6">
        <v>34818.239999999998</v>
      </c>
      <c r="I123" s="6">
        <v>31769.16</v>
      </c>
      <c r="J123" s="6"/>
      <c r="K123" s="6">
        <v>31118</v>
      </c>
      <c r="L123" s="6">
        <v>28524.87</v>
      </c>
      <c r="N123" s="6">
        <v>31785</v>
      </c>
      <c r="O123" s="6">
        <v>28461</v>
      </c>
    </row>
    <row r="124" spans="1:15" x14ac:dyDescent="0.25">
      <c r="B124" s="1" t="s">
        <v>81</v>
      </c>
      <c r="D124" s="6">
        <v>500</v>
      </c>
      <c r="H124" s="6">
        <v>544.22</v>
      </c>
      <c r="I124" s="6">
        <v>544.22</v>
      </c>
      <c r="J124" s="6"/>
      <c r="K124" s="6">
        <v>500</v>
      </c>
      <c r="L124" s="6">
        <v>458.37</v>
      </c>
      <c r="N124" s="6">
        <v>569</v>
      </c>
      <c r="O124" s="6">
        <v>500</v>
      </c>
    </row>
    <row r="125" spans="1:15" x14ac:dyDescent="0.25">
      <c r="B125" s="1" t="s">
        <v>82</v>
      </c>
      <c r="D125" s="6">
        <v>1000</v>
      </c>
      <c r="H125" s="6">
        <v>702.87</v>
      </c>
      <c r="I125" s="6">
        <v>102.87</v>
      </c>
      <c r="J125" s="6"/>
      <c r="K125" s="6">
        <v>1000</v>
      </c>
      <c r="L125" s="6">
        <v>916.63</v>
      </c>
      <c r="N125" s="6">
        <v>700</v>
      </c>
      <c r="O125" s="6">
        <v>1300</v>
      </c>
    </row>
    <row r="126" spans="1:15" x14ac:dyDescent="0.25">
      <c r="B126" s="1" t="s">
        <v>83</v>
      </c>
      <c r="D126" s="6">
        <f>7.5*4*20</f>
        <v>600</v>
      </c>
      <c r="G126" s="6"/>
      <c r="H126" s="6">
        <v>1475.17</v>
      </c>
      <c r="I126" s="6">
        <v>1298.29</v>
      </c>
      <c r="J126" s="6"/>
      <c r="K126" s="6">
        <v>600</v>
      </c>
      <c r="L126" s="6">
        <v>550</v>
      </c>
      <c r="N126" s="6">
        <v>770</v>
      </c>
      <c r="O126" s="6">
        <v>600</v>
      </c>
    </row>
    <row r="127" spans="1:15" x14ac:dyDescent="0.25">
      <c r="B127" s="1" t="s">
        <v>131</v>
      </c>
      <c r="D127" s="6">
        <f>11.5*30*50</f>
        <v>17250</v>
      </c>
      <c r="H127" s="6">
        <v>22400.240000000002</v>
      </c>
      <c r="I127" s="6">
        <v>20563.669999999998</v>
      </c>
      <c r="J127" s="6"/>
      <c r="K127" s="6">
        <v>19282</v>
      </c>
      <c r="L127" s="6">
        <v>17675.13</v>
      </c>
      <c r="N127" s="6">
        <v>19111</v>
      </c>
      <c r="O127" s="6">
        <v>19486</v>
      </c>
    </row>
    <row r="128" spans="1:15" x14ac:dyDescent="0.25">
      <c r="B128" s="1" t="s">
        <v>84</v>
      </c>
      <c r="D128" s="6">
        <v>9800</v>
      </c>
      <c r="H128" s="6">
        <v>8457.07</v>
      </c>
      <c r="I128" s="6">
        <v>7614.73</v>
      </c>
      <c r="J128" s="6"/>
      <c r="K128" s="6">
        <v>10025</v>
      </c>
      <c r="L128" s="6">
        <v>9189.6200000000008</v>
      </c>
      <c r="N128" s="6">
        <v>9696</v>
      </c>
      <c r="O128" s="6">
        <v>9000</v>
      </c>
    </row>
    <row r="129" spans="1:15" x14ac:dyDescent="0.25">
      <c r="B129" s="1" t="s">
        <v>85</v>
      </c>
      <c r="D129" s="6">
        <v>3400</v>
      </c>
      <c r="H129" s="6">
        <v>2455</v>
      </c>
      <c r="I129" s="6">
        <v>2455</v>
      </c>
      <c r="J129" s="6"/>
      <c r="K129" s="6">
        <v>3300</v>
      </c>
      <c r="L129" s="6">
        <v>3300</v>
      </c>
      <c r="N129" s="6">
        <v>3120</v>
      </c>
      <c r="O129" s="6">
        <v>2910</v>
      </c>
    </row>
    <row r="130" spans="1:15" x14ac:dyDescent="0.25">
      <c r="B130" s="1" t="s">
        <v>86</v>
      </c>
      <c r="D130" s="6">
        <v>600</v>
      </c>
      <c r="H130" s="6">
        <v>1400</v>
      </c>
      <c r="I130" s="6">
        <v>1050</v>
      </c>
      <c r="J130" s="6"/>
      <c r="K130" s="6">
        <v>600</v>
      </c>
      <c r="L130" s="6">
        <v>550</v>
      </c>
      <c r="N130" s="6">
        <v>700</v>
      </c>
      <c r="O130" s="6">
        <v>600</v>
      </c>
    </row>
    <row r="131" spans="1:15" x14ac:dyDescent="0.25">
      <c r="B131" s="1" t="s">
        <v>87</v>
      </c>
      <c r="D131" s="6">
        <v>-5000</v>
      </c>
      <c r="H131" s="6">
        <v>-4000</v>
      </c>
      <c r="I131" s="6">
        <v>-4000</v>
      </c>
      <c r="J131" s="6"/>
      <c r="K131" s="6">
        <v>-4000</v>
      </c>
      <c r="L131" s="6">
        <v>-4000</v>
      </c>
      <c r="N131" s="6">
        <v>-4000</v>
      </c>
      <c r="O131" s="6">
        <v>-4000</v>
      </c>
    </row>
    <row r="132" spans="1:15" s="5" customFormat="1" x14ac:dyDescent="0.25">
      <c r="A132" s="33" t="s">
        <v>79</v>
      </c>
      <c r="B132" s="33"/>
      <c r="C132" s="33"/>
      <c r="D132" s="33">
        <f>SUM(D122:D131)</f>
        <v>71343</v>
      </c>
      <c r="H132" s="33">
        <f>SUM(H122:H131)</f>
        <v>80642.26999999999</v>
      </c>
      <c r="I132" s="33">
        <f>SUM(I122:I131)</f>
        <v>72862.909999999989</v>
      </c>
      <c r="J132" s="33"/>
      <c r="K132" s="33">
        <f>SUM(K122:K131)</f>
        <v>73080</v>
      </c>
      <c r="L132" s="33">
        <f>SUM(L122:L131)</f>
        <v>66931.739999999991</v>
      </c>
      <c r="N132" s="33">
        <f>SUM(N122:N131)</f>
        <v>74281</v>
      </c>
      <c r="O132" s="33">
        <f>SUM(O122:O131)</f>
        <v>69200</v>
      </c>
    </row>
    <row r="133" spans="1:15" x14ac:dyDescent="0.25">
      <c r="A133" s="33" t="s">
        <v>88</v>
      </c>
      <c r="B133" s="33"/>
      <c r="C133" s="44" t="str">
        <f>0*100%&amp;"% Cost of Living"</f>
        <v>0% Cost of Living</v>
      </c>
      <c r="D133" s="33">
        <f>+D91+D96+D101+D110+D119+D132</f>
        <v>322181</v>
      </c>
      <c r="H133" s="33">
        <f t="shared" ref="H133:I133" si="6">+H91+H96+H101+H110+H119+H132</f>
        <v>328235.68</v>
      </c>
      <c r="I133" s="33">
        <f t="shared" si="6"/>
        <v>298583.31</v>
      </c>
      <c r="J133" s="33"/>
      <c r="K133" s="33">
        <f>+K91+K96+K101+K110+K119+K132</f>
        <v>323156</v>
      </c>
      <c r="L133" s="33">
        <f>+L91+L96+L101+L110+L119+L132</f>
        <v>296058.17000000004</v>
      </c>
      <c r="N133" s="33">
        <f t="shared" ref="N133:O133" si="7">+N91+N96+N101+N110+N119+N132</f>
        <v>315055</v>
      </c>
      <c r="O133" s="33">
        <f t="shared" si="7"/>
        <v>313707</v>
      </c>
    </row>
    <row r="134" spans="1:15" ht="8.25" customHeight="1" x14ac:dyDescent="0.25"/>
    <row r="135" spans="1:15" ht="18.75" x14ac:dyDescent="0.25">
      <c r="A135" s="11" t="s">
        <v>89</v>
      </c>
    </row>
    <row r="136" spans="1:15" x14ac:dyDescent="0.25">
      <c r="A136" s="5" t="s">
        <v>90</v>
      </c>
    </row>
    <row r="137" spans="1:15" x14ac:dyDescent="0.25">
      <c r="B137" s="1" t="s">
        <v>92</v>
      </c>
      <c r="D137" s="6">
        <v>18000</v>
      </c>
      <c r="H137" s="6">
        <v>18034.32</v>
      </c>
      <c r="I137" s="6">
        <v>16321.87</v>
      </c>
      <c r="J137" s="6"/>
      <c r="K137" s="6">
        <v>16500</v>
      </c>
      <c r="L137" s="6">
        <v>15125</v>
      </c>
      <c r="N137" s="6">
        <v>16071</v>
      </c>
      <c r="O137" s="6">
        <v>14500</v>
      </c>
    </row>
    <row r="138" spans="1:15" x14ac:dyDescent="0.25">
      <c r="B138" s="1" t="s">
        <v>93</v>
      </c>
      <c r="D138" s="6">
        <v>12000</v>
      </c>
      <c r="H138" s="6">
        <v>12335.85</v>
      </c>
      <c r="I138" s="6">
        <v>11367.85</v>
      </c>
      <c r="J138" s="6"/>
      <c r="K138" s="6">
        <v>12000</v>
      </c>
      <c r="L138" s="6">
        <v>11000</v>
      </c>
      <c r="N138" s="6">
        <v>10365</v>
      </c>
      <c r="O138" s="6">
        <v>12000</v>
      </c>
    </row>
    <row r="139" spans="1:15" x14ac:dyDescent="0.25">
      <c r="B139" s="1" t="s">
        <v>94</v>
      </c>
      <c r="D139" s="6">
        <v>3400</v>
      </c>
      <c r="H139" s="6">
        <v>4597.7</v>
      </c>
      <c r="I139" s="6">
        <v>3726.01</v>
      </c>
      <c r="J139" s="6"/>
      <c r="K139" s="6">
        <v>3900</v>
      </c>
      <c r="L139" s="6">
        <v>3575</v>
      </c>
      <c r="N139" s="6">
        <v>3847</v>
      </c>
      <c r="O139" s="6">
        <v>3900</v>
      </c>
    </row>
    <row r="140" spans="1:15" x14ac:dyDescent="0.25">
      <c r="B140" s="1" t="s">
        <v>95</v>
      </c>
      <c r="D140" s="6">
        <v>850</v>
      </c>
      <c r="H140" s="6">
        <v>742.15</v>
      </c>
      <c r="I140" s="6">
        <v>742.15</v>
      </c>
      <c r="J140" s="6"/>
      <c r="K140" s="6">
        <v>800</v>
      </c>
      <c r="L140" s="6">
        <v>800</v>
      </c>
      <c r="N140" s="6">
        <v>766</v>
      </c>
      <c r="O140" s="6">
        <v>750</v>
      </c>
    </row>
    <row r="141" spans="1:15" x14ac:dyDescent="0.25">
      <c r="B141" s="1" t="s">
        <v>96</v>
      </c>
      <c r="D141" s="6">
        <v>3300</v>
      </c>
      <c r="H141" s="6">
        <v>3534.28</v>
      </c>
      <c r="I141" s="6">
        <v>3225.73</v>
      </c>
      <c r="J141" s="6"/>
      <c r="K141" s="6">
        <v>3300</v>
      </c>
      <c r="L141" s="6">
        <v>3025</v>
      </c>
      <c r="N141" s="6">
        <v>3016</v>
      </c>
      <c r="O141" s="6">
        <v>3300</v>
      </c>
    </row>
    <row r="142" spans="1:15" x14ac:dyDescent="0.25">
      <c r="B142" s="1" t="s">
        <v>97</v>
      </c>
      <c r="D142" s="6">
        <v>2500</v>
      </c>
      <c r="H142" s="6">
        <v>2948.57</v>
      </c>
      <c r="I142" s="6">
        <v>2716.41</v>
      </c>
      <c r="J142" s="6"/>
      <c r="K142" s="6">
        <v>2400</v>
      </c>
      <c r="L142" s="6">
        <v>2200</v>
      </c>
      <c r="N142" s="6">
        <v>2344</v>
      </c>
      <c r="O142" s="6">
        <v>2000</v>
      </c>
    </row>
    <row r="143" spans="1:15" x14ac:dyDescent="0.25">
      <c r="B143" s="1" t="s">
        <v>98</v>
      </c>
      <c r="D143" s="6">
        <v>3100</v>
      </c>
      <c r="H143" s="6">
        <v>3163.5</v>
      </c>
      <c r="I143" s="6">
        <v>3163.5</v>
      </c>
      <c r="J143" s="6"/>
      <c r="K143" s="6">
        <v>3100</v>
      </c>
      <c r="L143" s="6">
        <v>3100</v>
      </c>
      <c r="N143" s="6">
        <v>3025</v>
      </c>
      <c r="O143" s="6">
        <v>2900</v>
      </c>
    </row>
    <row r="144" spans="1:15" s="5" customFormat="1" x14ac:dyDescent="0.25">
      <c r="A144" s="36" t="s">
        <v>99</v>
      </c>
      <c r="B144" s="36"/>
      <c r="C144" s="36"/>
      <c r="D144" s="36">
        <f>SUM(D137:D143)</f>
        <v>43150</v>
      </c>
      <c r="H144" s="36">
        <f>SUM(H137:H143)</f>
        <v>45356.369999999995</v>
      </c>
      <c r="I144" s="36">
        <f>SUM(I137:I143)</f>
        <v>41263.520000000004</v>
      </c>
      <c r="J144" s="36"/>
      <c r="K144" s="36">
        <f>SUM(K137:K143)</f>
        <v>42000</v>
      </c>
      <c r="L144" s="36">
        <f>SUM(L137:L143)</f>
        <v>38825</v>
      </c>
      <c r="N144" s="36">
        <f>SUM(N137:N143)</f>
        <v>39434</v>
      </c>
      <c r="O144" s="36">
        <f>SUM(O137:O143)</f>
        <v>39350</v>
      </c>
    </row>
    <row r="145" spans="1:15" s="5" customFormat="1" ht="6.75" customHeight="1" x14ac:dyDescent="0.25">
      <c r="A145" s="22"/>
      <c r="B145" s="22"/>
      <c r="C145" s="22"/>
      <c r="D145" s="22"/>
      <c r="H145" s="22"/>
      <c r="I145" s="22"/>
      <c r="J145" s="22"/>
      <c r="K145" s="22"/>
      <c r="L145" s="22"/>
      <c r="N145" s="22"/>
      <c r="O145" s="22"/>
    </row>
    <row r="146" spans="1:15" x14ac:dyDescent="0.25">
      <c r="A146" s="5" t="s">
        <v>100</v>
      </c>
    </row>
    <row r="147" spans="1:15" x14ac:dyDescent="0.25">
      <c r="B147" s="1" t="s">
        <v>101</v>
      </c>
      <c r="D147" s="6">
        <v>12000</v>
      </c>
      <c r="H147" s="6">
        <v>9766.41</v>
      </c>
      <c r="I147" s="6">
        <v>9766.41</v>
      </c>
      <c r="J147" s="6"/>
      <c r="K147" s="6">
        <v>11000</v>
      </c>
      <c r="L147" s="6">
        <v>11000</v>
      </c>
      <c r="N147" s="6">
        <v>10182</v>
      </c>
      <c r="O147" s="6">
        <v>9500</v>
      </c>
    </row>
    <row r="148" spans="1:15" x14ac:dyDescent="0.25">
      <c r="B148" s="1" t="s">
        <v>102</v>
      </c>
      <c r="D148" s="6">
        <v>5000</v>
      </c>
      <c r="H148" s="6">
        <v>5700.25</v>
      </c>
      <c r="I148" s="6">
        <v>5650.25</v>
      </c>
      <c r="J148" s="6"/>
      <c r="K148" s="6">
        <v>5000</v>
      </c>
      <c r="L148" s="6">
        <v>4000</v>
      </c>
      <c r="N148" s="6">
        <v>5938</v>
      </c>
      <c r="O148" s="6">
        <v>5000</v>
      </c>
    </row>
    <row r="149" spans="1:15" x14ac:dyDescent="0.25">
      <c r="B149" s="1" t="s">
        <v>103</v>
      </c>
      <c r="D149" s="6">
        <v>2500</v>
      </c>
      <c r="H149" s="6">
        <v>2729.37</v>
      </c>
      <c r="I149" s="6">
        <v>2054.81</v>
      </c>
      <c r="J149" s="6"/>
      <c r="K149" s="6">
        <v>3000</v>
      </c>
      <c r="L149" s="6">
        <v>2750</v>
      </c>
      <c r="N149" s="6">
        <v>2996</v>
      </c>
      <c r="O149" s="6">
        <v>3500</v>
      </c>
    </row>
    <row r="150" spans="1:15" ht="28.5" customHeight="1" x14ac:dyDescent="0.25">
      <c r="B150" s="68" t="s">
        <v>135</v>
      </c>
      <c r="C150" s="68"/>
      <c r="D150" s="6">
        <v>2700</v>
      </c>
      <c r="H150" s="6">
        <v>2907.05</v>
      </c>
      <c r="I150" s="6">
        <v>2749.08</v>
      </c>
      <c r="J150" s="6"/>
      <c r="K150" s="6">
        <v>3000</v>
      </c>
      <c r="L150" s="6">
        <v>2750</v>
      </c>
      <c r="N150" s="6">
        <v>2796</v>
      </c>
      <c r="O150" s="6">
        <v>2500</v>
      </c>
    </row>
    <row r="151" spans="1:15" x14ac:dyDescent="0.25">
      <c r="B151" s="1" t="s">
        <v>104</v>
      </c>
      <c r="D151" s="6">
        <v>7000</v>
      </c>
      <c r="H151" s="6">
        <v>10582.63</v>
      </c>
      <c r="I151" s="6">
        <v>7947.63</v>
      </c>
      <c r="J151" s="6"/>
      <c r="K151" s="6">
        <v>6000</v>
      </c>
      <c r="L151" s="6">
        <v>5500</v>
      </c>
      <c r="N151" s="6">
        <v>5158</v>
      </c>
      <c r="O151" s="6">
        <v>6000</v>
      </c>
    </row>
    <row r="152" spans="1:15" x14ac:dyDescent="0.25">
      <c r="B152" s="1" t="s">
        <v>105</v>
      </c>
      <c r="D152" s="6">
        <v>0</v>
      </c>
      <c r="H152" s="6">
        <v>0</v>
      </c>
      <c r="I152" s="6">
        <v>0</v>
      </c>
      <c r="J152" s="6"/>
      <c r="K152" s="6">
        <v>0</v>
      </c>
      <c r="L152" s="6">
        <v>0</v>
      </c>
      <c r="N152" s="6">
        <v>131</v>
      </c>
      <c r="O152" s="6">
        <v>0</v>
      </c>
    </row>
    <row r="153" spans="1:15" x14ac:dyDescent="0.25">
      <c r="B153" s="1" t="s">
        <v>107</v>
      </c>
      <c r="D153" s="6">
        <v>54900</v>
      </c>
      <c r="H153" s="6">
        <v>54876</v>
      </c>
      <c r="I153" s="6">
        <v>50303</v>
      </c>
      <c r="J153" s="6"/>
      <c r="K153" s="6">
        <v>54900</v>
      </c>
      <c r="L153" s="6">
        <v>50325</v>
      </c>
      <c r="N153" s="6">
        <v>55793</v>
      </c>
      <c r="O153" s="6">
        <v>56500</v>
      </c>
    </row>
    <row r="154" spans="1:15" x14ac:dyDescent="0.25">
      <c r="B154" s="1" t="s">
        <v>106</v>
      </c>
      <c r="D154" s="6">
        <v>1400</v>
      </c>
      <c r="H154" s="6">
        <v>962.46</v>
      </c>
      <c r="I154" s="6">
        <v>908.96</v>
      </c>
      <c r="J154" s="6"/>
      <c r="K154" s="6">
        <v>1600</v>
      </c>
      <c r="L154" s="6">
        <v>1466.63</v>
      </c>
      <c r="N154" s="6">
        <v>524</v>
      </c>
      <c r="O154" s="6">
        <v>0</v>
      </c>
    </row>
    <row r="155" spans="1:15" s="5" customFormat="1" x14ac:dyDescent="0.25">
      <c r="A155" s="36" t="s">
        <v>108</v>
      </c>
      <c r="B155" s="36"/>
      <c r="C155" s="36"/>
      <c r="D155" s="36">
        <f>SUM(D147:D154)</f>
        <v>85500</v>
      </c>
      <c r="H155" s="36">
        <f>SUM(H147:H154)</f>
        <v>87524.17</v>
      </c>
      <c r="I155" s="36">
        <f>SUM(I147:I154)</f>
        <v>79380.140000000014</v>
      </c>
      <c r="J155" s="36"/>
      <c r="K155" s="36">
        <f>SUM(K147:K154)</f>
        <v>84500</v>
      </c>
      <c r="L155" s="36">
        <f>SUM(L147:L154)</f>
        <v>77791.63</v>
      </c>
      <c r="N155" s="36">
        <f>SUM(N147:N154)</f>
        <v>83518</v>
      </c>
      <c r="O155" s="36">
        <f>SUM(O147:O154)</f>
        <v>83000</v>
      </c>
    </row>
    <row r="156" spans="1:15" x14ac:dyDescent="0.25">
      <c r="A156" s="36" t="s">
        <v>109</v>
      </c>
      <c r="B156" s="36"/>
      <c r="C156" s="36"/>
      <c r="D156" s="36">
        <f>+D144+D155</f>
        <v>128650</v>
      </c>
      <c r="H156" s="36">
        <f t="shared" ref="H156:I156" si="8">+H144+H155</f>
        <v>132880.53999999998</v>
      </c>
      <c r="I156" s="36">
        <f t="shared" si="8"/>
        <v>120643.66000000002</v>
      </c>
      <c r="J156" s="36"/>
      <c r="K156" s="36">
        <f>+K144+K155</f>
        <v>126500</v>
      </c>
      <c r="L156" s="36">
        <f>+L144+L155</f>
        <v>116616.63</v>
      </c>
      <c r="N156" s="36">
        <f t="shared" ref="N156:O156" si="9">+N144+N155</f>
        <v>122952</v>
      </c>
      <c r="O156" s="36">
        <f t="shared" si="9"/>
        <v>122350</v>
      </c>
    </row>
    <row r="157" spans="1:15" ht="4.5" customHeight="1" x14ac:dyDescent="0.25"/>
    <row r="158" spans="1:15" ht="18.75" x14ac:dyDescent="0.25">
      <c r="A158" s="11" t="s">
        <v>110</v>
      </c>
    </row>
    <row r="159" spans="1:15" x14ac:dyDescent="0.25">
      <c r="A159" s="5" t="s">
        <v>111</v>
      </c>
    </row>
    <row r="160" spans="1:15" x14ac:dyDescent="0.25">
      <c r="B160" s="1" t="s">
        <v>112</v>
      </c>
      <c r="D160" s="6">
        <v>0</v>
      </c>
      <c r="H160" s="6">
        <v>0</v>
      </c>
      <c r="I160" s="6">
        <v>0</v>
      </c>
      <c r="J160" s="6"/>
      <c r="K160" s="6">
        <v>0</v>
      </c>
      <c r="L160" s="6">
        <v>0</v>
      </c>
      <c r="N160" s="6">
        <v>0</v>
      </c>
      <c r="O160" s="6">
        <v>0</v>
      </c>
    </row>
    <row r="161" spans="1:15" x14ac:dyDescent="0.25">
      <c r="B161" s="1" t="s">
        <v>113</v>
      </c>
      <c r="D161" s="6">
        <v>5000</v>
      </c>
      <c r="H161" s="6">
        <v>3750</v>
      </c>
      <c r="I161" s="6">
        <v>3750</v>
      </c>
      <c r="J161" s="6"/>
      <c r="K161" s="6">
        <v>5000</v>
      </c>
      <c r="L161" s="6">
        <v>4583.37</v>
      </c>
      <c r="N161" s="6">
        <v>4886</v>
      </c>
      <c r="O161" s="6">
        <v>1000</v>
      </c>
    </row>
    <row r="162" spans="1:15" x14ac:dyDescent="0.25">
      <c r="B162" s="1" t="s">
        <v>114</v>
      </c>
      <c r="D162" s="6">
        <v>0</v>
      </c>
      <c r="H162" s="6">
        <v>0</v>
      </c>
      <c r="I162" s="6">
        <v>0</v>
      </c>
      <c r="J162" s="6"/>
      <c r="K162" s="6">
        <v>0</v>
      </c>
      <c r="L162" s="6">
        <v>0</v>
      </c>
      <c r="N162" s="6">
        <v>6500</v>
      </c>
      <c r="O162" s="6">
        <v>0</v>
      </c>
    </row>
    <row r="163" spans="1:15" x14ac:dyDescent="0.25">
      <c r="B163" s="1" t="s">
        <v>115</v>
      </c>
      <c r="D163" s="6">
        <v>5000</v>
      </c>
      <c r="H163" s="6">
        <v>5450</v>
      </c>
      <c r="I163" s="6">
        <v>10450</v>
      </c>
      <c r="J163" s="6"/>
      <c r="K163" s="6">
        <v>5000</v>
      </c>
      <c r="L163" s="6">
        <v>4583.37</v>
      </c>
      <c r="N163" s="6">
        <v>0</v>
      </c>
      <c r="O163" s="6">
        <v>0</v>
      </c>
    </row>
    <row r="164" spans="1:15" s="5" customFormat="1" x14ac:dyDescent="0.25">
      <c r="A164" s="38" t="s">
        <v>116</v>
      </c>
      <c r="B164" s="38"/>
      <c r="C164" s="38"/>
      <c r="D164" s="38">
        <f>SUM(D160:D163)</f>
        <v>10000</v>
      </c>
      <c r="H164" s="38">
        <f>SUM(H160:H163)</f>
        <v>9200</v>
      </c>
      <c r="I164" s="38">
        <f>SUM(I160:I163)</f>
        <v>14200</v>
      </c>
      <c r="J164" s="38"/>
      <c r="K164" s="38">
        <f>SUM(K160:K163)</f>
        <v>10000</v>
      </c>
      <c r="L164" s="38">
        <f>SUM(L160:L163)</f>
        <v>9166.74</v>
      </c>
      <c r="N164" s="38">
        <f>SUM(N160:N163)</f>
        <v>11386</v>
      </c>
      <c r="O164" s="38">
        <f>SUM(O160:O163)</f>
        <v>1000</v>
      </c>
    </row>
    <row r="165" spans="1:15" ht="7.5" customHeight="1" x14ac:dyDescent="0.25"/>
    <row r="166" spans="1:15" x14ac:dyDescent="0.25">
      <c r="A166" s="40" t="s">
        <v>117</v>
      </c>
      <c r="B166" s="41"/>
      <c r="C166" s="41"/>
      <c r="D166" s="40">
        <f>+D82+D133+D156+D164+D31</f>
        <v>572505</v>
      </c>
      <c r="H166" s="40">
        <f>+H82+H133+H156+H164+H31</f>
        <v>577445.49</v>
      </c>
      <c r="I166" s="40">
        <f>+I82+I133+I156+I164+I31</f>
        <v>533020.59</v>
      </c>
      <c r="J166" s="40"/>
      <c r="K166" s="40">
        <f>+K82+K133+K156+K164+K31</f>
        <v>578306</v>
      </c>
      <c r="L166" s="40">
        <f>+L82+L133+L156+L164+L31</f>
        <v>527848.47</v>
      </c>
      <c r="N166" s="40">
        <f>+N82+N133+N156+N164+N31</f>
        <v>564589</v>
      </c>
      <c r="O166" s="40">
        <f>+O82+O133+O156+O164+O31</f>
        <v>547047</v>
      </c>
    </row>
    <row r="167" spans="1:15" x14ac:dyDescent="0.25">
      <c r="A167" s="40" t="s">
        <v>118</v>
      </c>
      <c r="B167" s="41"/>
      <c r="C167" s="41"/>
      <c r="D167" s="40">
        <f>+D22-D166</f>
        <v>0</v>
      </c>
      <c r="H167" s="40">
        <f>+H22-H166</f>
        <v>0</v>
      </c>
      <c r="I167" s="40">
        <f>+I22-I166</f>
        <v>545.29000000003725</v>
      </c>
      <c r="J167" s="40"/>
      <c r="K167" s="40">
        <f>+K22-K166</f>
        <v>694</v>
      </c>
      <c r="L167" s="40">
        <f>+L22-L166</f>
        <v>9496.6700000000419</v>
      </c>
      <c r="N167" s="40">
        <f>+N22-N166</f>
        <v>5663</v>
      </c>
      <c r="O167" s="40">
        <f>+O22-O166</f>
        <v>2853</v>
      </c>
    </row>
  </sheetData>
  <mergeCells count="7">
    <mergeCell ref="N3:O3"/>
    <mergeCell ref="A1:F1"/>
    <mergeCell ref="A2:F2"/>
    <mergeCell ref="D3:E3"/>
    <mergeCell ref="H3:I3"/>
    <mergeCell ref="B150:C150"/>
    <mergeCell ref="K3:L3"/>
  </mergeCells>
  <pageMargins left="0" right="0" top="0" bottom="0" header="0.3" footer="0.3"/>
  <pageSetup scale="64" fitToHeight="0" orientation="portrait" r:id="rId1"/>
  <headerFooter>
    <oddFooter>&amp;C&amp;P of &amp;N&amp;R&amp;D</oddFooter>
  </headerFooter>
  <rowBreaks count="2" manualBreakCount="2">
    <brk id="72" max="16383" man="1"/>
    <brk id="1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Final</vt:lpstr>
      <vt:lpstr>Changes</vt:lpstr>
      <vt:lpstr>Historical Data</vt:lpstr>
      <vt:lpstr>Changes!Print_Titles</vt:lpstr>
      <vt:lpstr>Final!Print_Titles</vt:lpstr>
      <vt:lpstr>'Historical Data'!Print_Titles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2011-12-16T19:28:41Z</cp:lastPrinted>
  <dcterms:created xsi:type="dcterms:W3CDTF">2011-12-01T18:07:46Z</dcterms:created>
  <dcterms:modified xsi:type="dcterms:W3CDTF">2012-01-27T18:52:55Z</dcterms:modified>
</cp:coreProperties>
</file>